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de d'emploi" state="visible" r:id="rId4"/>
    <sheet sheetId="2" name="Recettes de base" state="visible" r:id="rId5"/>
    <sheet sheetId="3" name="Pizzas" state="visible" r:id="rId6"/>
    <sheet sheetId="4" name="Canaux" state="visible" r:id="rId7"/>
  </sheets>
  <calcPr calcId="171027" fullCalcOnLoad="1"/>
</workbook>
</file>

<file path=xl/sharedStrings.xml><?xml version="1.0" encoding="utf-8"?>
<sst xmlns="http://schemas.openxmlformats.org/spreadsheetml/2006/main" count="115" uniqueCount="83">
  <si>
    <t>Prix de revient d'une pizza: coût matière, sur place et à l'emporter</t>
  </si>
  <si>
    <t>Feuille de calcul de l'article sur trolevo.com. Prix d'exemple, état 2026.</t>
  </si>
  <si>
    <t>Cette feuille calcule le coût matière d'une pizza à partir de trois recettes de base (pâte, sauce tomate, mozzarella fior di latte) et, par pizza, le prix net, le food cost et la marge de contribution, sur place et à l'emporter.</t>
  </si>
  <si>
    <t>Elle est préremplie avec l'exemple chiffré de l'article «Prix de revient d'une pizza» sur trolevo.com. Tous les prix d'achat sont des prix d'exemple hors TVA; le prix de la carte est le prix brut que paie le client. État des taux de TVA: 2026.</t>
  </si>
  <si>
    <t>Hypothèses de l'exemple: un établissement assujetti à la TVA qui établit ses décomptes selon la méthode effective et sépare sur place et à l'emporter par des justificatifs, et le même prix de la carte dans les deux canaux. Qui vend moins cher à l'emporter saisit ce prix dans la feuille «Canaux».</t>
  </si>
  <si>
    <t>Les champs de saisie sont sur fond clair, la feuille calcule tout le reste. Chaque montant est arrondi au centime, comme dans l'article.</t>
  </si>
  <si>
    <t>Mozzarella fior di latte: les pizzas calculent avec le poids pesé soi-même, sinon avec le poids égoutté indiqué sur l'emballage. Qui ne pèse pas vide le champ «Poids propre». Si l'emballage n'indique pas de poids égoutté, on pèse une fois un sachet tel qu'il va sur la pizza.</t>
  </si>
  <si>
    <t>Le carton à pizza ne fait pas partie du coût matière. Il a sa propre colonne et n'est déduit que de la marge de contribution à l'emporter.</t>
  </si>
  <si>
    <t>Champ d'application: pour les établissements qui appliquent le décompte simplifié de l'AFC pour les petits snack-bars (Info TVA concernant le secteur 08, ch. 1.3.4), ce calcul ne vaut pas tel quel. Qui établit ses décomptes selon la méthode des taux de la dette fiscale nette calcule autrement (art. 37 al. 2 LTVA). Les commandes passées par une plateforme de livraison ne sont pas représentées.</t>
  </si>
  <si>
    <t>Sources: LTVA art. 25 al. 3; OTVA art. 55 et 56; ODqua art. 1, 2 et 16; AFC, Info TVA concernant le secteur 08, ch. 1.3.4; AFC, taux de la TVA.</t>
  </si>
  <si>
    <t>Cette feuille explique le calcul et n'est pas un conseil fiscal; font foi la LTVA, l'OTVA et les renseignements de l'Administration fédérale des contributions (AFC).</t>
  </si>
  <si>
    <t>Cette feuille ne peut pas être importée dans Trolevo: l'import de recettes ne reprend pas les prix.</t>
  </si>
  <si>
    <t>Recettes de base</t>
  </si>
  <si>
    <t>Prérempli avec les chiffres d'exemple de l'article. Les champs de saisie sont sur fond clair.</t>
  </si>
  <si>
    <t>Recette de base 1: pâte à pizza, une production</t>
  </si>
  <si>
    <t>Ingrédient</t>
  </si>
  <si>
    <t>Quantité</t>
  </si>
  <si>
    <t>Unité</t>
  </si>
  <si>
    <t>Prix unitaire</t>
  </si>
  <si>
    <t>Coût</t>
  </si>
  <si>
    <t>Farine</t>
  </si>
  <si>
    <t>kg</t>
  </si>
  <si>
    <t>Eau</t>
  </si>
  <si>
    <t>Sel</t>
  </si>
  <si>
    <t>Levure</t>
  </si>
  <si>
    <t>Production</t>
  </si>
  <si>
    <t>Poids par pâton</t>
  </si>
  <si>
    <t>g</t>
  </si>
  <si>
    <t>Pâtons en théorie</t>
  </si>
  <si>
    <t>Pâtons pesés</t>
  </si>
  <si>
    <t>Coût par pâton</t>
  </si>
  <si>
    <t>Recette de base 2: sauce tomate, une production</t>
  </si>
  <si>
    <t>Tomates pelées</t>
  </si>
  <si>
    <t>boîtes</t>
  </si>
  <si>
    <t>Contenu par boîte</t>
  </si>
  <si>
    <t>Prix au kilo de la sauce</t>
  </si>
  <si>
    <t>Calculé sur le poids de la production.</t>
  </si>
  <si>
    <t>Recette de base 3: mozzarella fior di latte</t>
  </si>
  <si>
    <t>Prix au kilo</t>
  </si>
  <si>
    <t>Prix par emballage</t>
  </si>
  <si>
    <t>Quantité nominale</t>
  </si>
  <si>
    <t>Poids égoutté (sur l'emballage)</t>
  </si>
  <si>
    <t>Poids propre, pesé une fois</t>
  </si>
  <si>
    <t>Prix au kilo pour les pizzas</t>
  </si>
  <si>
    <t>Les pizzas calculent avec le poids propre, sinon avec le poids égoutté, jamais avec la quantité nominale.</t>
  </si>
  <si>
    <t>Qui ne pèse pas vide le champ «Poids propre».</t>
  </si>
  <si>
    <t>Garniture</t>
  </si>
  <si>
    <t/>
  </si>
  <si>
    <t>Huile d'olive</t>
  </si>
  <si>
    <t>par litre</t>
  </si>
  <si>
    <t>Basilic</t>
  </si>
  <si>
    <t>par kg</t>
  </si>
  <si>
    <t>Pizzas</t>
  </si>
  <si>
    <t>Pizza</t>
  </si>
  <si>
    <t>Pâtons</t>
  </si>
  <si>
    <t>Sauce (g)</t>
  </si>
  <si>
    <t>Fior di latte (g)</t>
  </si>
  <si>
    <t>Huile d'olive (ml)</t>
  </si>
  <si>
    <t>Basilic (g)</t>
  </si>
  <si>
    <t>Autres ingrédients (CHF)</t>
  </si>
  <si>
    <t>Carton (CHF), seulement à l'emporter</t>
  </si>
  <si>
    <t>Coût matière (sans carton)</t>
  </si>
  <si>
    <t>Margherita</t>
  </si>
  <si>
    <t>Saisir d'autres pizzas des mêmes recettes de base dans les lignes vides.</t>
  </si>
  <si>
    <t>Canaux</t>
  </si>
  <si>
    <t>Taux normal, sur place</t>
  </si>
  <si>
    <t>LTVA art. 25, état 2026</t>
  </si>
  <si>
    <t>Taux réduit, à l'emporter</t>
  </si>
  <si>
    <t>Prix de la carte sur place</t>
  </si>
  <si>
    <t>Prix de la carte à l'emporter</t>
  </si>
  <si>
    <t>Net sur place</t>
  </si>
  <si>
    <t>Net à l'emporter</t>
  </si>
  <si>
    <t>Food cost sur place</t>
  </si>
  <si>
    <t>Food cost à l'emporter</t>
  </si>
  <si>
    <t>Marge de contribution sur place</t>
  </si>
  <si>
    <t>Marge de contribution à l'emporter</t>
  </si>
  <si>
    <t>Reste après le carton</t>
  </si>
  <si>
    <t>Différence avec la consommation sur place</t>
  </si>
  <si>
    <t>Seuil du carton en CHF</t>
  </si>
  <si>
    <t>Seuil du carton, facteur</t>
  </si>
  <si>
    <t>Fois le prix de la carte; vaut seulement à prix de la carte égal dans les deux canaux.</t>
  </si>
  <si>
    <t>Si le carton coûte moins que le seuil, il reste davantage à l'emporter que sur place.</t>
  </si>
  <si>
    <t>Ne vaut pas tel quel pour le décompte simplifié de l'AFC pour les petits snack-bars, ni pour la méthode des taux de la dette fiscale nette, ni pour les commandes passées par une plateforme de livraison.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</si>
</sst>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quot;CHF &quot;0.00"/>
    <numFmt numFmtId="166" formatCode="&quot;CHF &quot;0.0000"/>
    <numFmt numFmtId="167" formatCode="0.0%"/>
    <numFmt numFmtId="168" formatCode="0.00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241E18"/>
      <sz val="10"/>
      <name val="Arial"/>
    </font>
    <font>
      <b/>
      <color rgb="FFFFFFFF"/>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2" borderId="0" xfId="0" applyFont="1" applyFill="1"/>
    <xf numFmtId="164" fontId="0" fillId="3" borderId="1" xfId="0" applyNumberFormat="1" applyFill="1" applyBorder="1"/>
    <xf numFmtId="165" fontId="0" fillId="3" borderId="1" xfId="0" applyNumberFormat="1" applyFill="1" applyBorder="1"/>
    <xf numFmtId="165" fontId="0" fillId="0" borderId="0" xfId="0" applyNumberFormat="1"/>
    <xf numFmtId="164" fontId="0" fillId="0" borderId="0" xfId="0" applyNumberFormat="1"/>
    <xf numFmtId="165" fontId="4" fillId="0" borderId="0" xfId="0" applyNumberFormat="1" applyFont="1"/>
    <xf numFmtId="0" fontId="0" fillId="3" borderId="1" xfId="0" applyFill="1" applyBorder="1"/>
    <xf numFmtId="2" fontId="0" fillId="0" borderId="0" xfId="0" applyNumberFormat="1"/>
    <xf numFmtId="1" fontId="0" fillId="3" borderId="1" xfId="0" applyNumberFormat="1" applyFill="1" applyBorder="1"/>
    <xf numFmtId="166" fontId="0" fillId="0" borderId="0" xfId="0" applyNumberFormat="1"/>
    <xf numFmtId="0" fontId="6" fillId="0" borderId="0" xfId="0" applyFont="1"/>
    <xf numFmtId="167" fontId="0" fillId="3" borderId="1" xfId="0" applyNumberFormat="1" applyFill="1" applyBorder="1"/>
    <xf numFmtId="167" fontId="0" fillId="0" borderId="0" xfId="0" applyNumberForma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heetViews>
  <sheetFormatPr defaultRowHeight="15" outlineLevelRow="0" outlineLevelCol="0" x14ac:dyDescent="55"/>
  <cols>
    <col min="1" max="1" width="38" customWidth="1"/>
    <col min="2" max="2" width="14" customWidth="1"/>
    <col min="3" max="3" width="10" customWidth="1"/>
    <col min="4" max="5" width="16" customWidth="1"/>
  </cols>
  <sheetData>
    <row r="1" spans="1:1" x14ac:dyDescent="0.25">
      <c r="A1" s="1" t="s">
        <v>12</v>
      </c>
    </row>
    <row r="2" spans="1:1" x14ac:dyDescent="0.25">
      <c r="A2" s="2" t="s">
        <v>13</v>
      </c>
    </row>
    <row r="4" spans="1:1" x14ac:dyDescent="0.25">
      <c r="A4" s="4" t="s">
        <v>14</v>
      </c>
    </row>
    <row r="5" spans="1:5" x14ac:dyDescent="0.25">
      <c r="A5" s="5" t="s">
        <v>15</v>
      </c>
      <c r="B5" s="5" t="s">
        <v>16</v>
      </c>
      <c r="C5" s="5" t="s">
        <v>17</v>
      </c>
      <c r="D5" s="5" t="s">
        <v>18</v>
      </c>
      <c r="E5" s="5" t="s">
        <v>19</v>
      </c>
    </row>
    <row r="6" spans="1:5" x14ac:dyDescent="0.25">
      <c r="A6" t="s">
        <v>20</v>
      </c>
      <c r="B6" s="6">
        <v>5</v>
      </c>
      <c r="C6" t="s">
        <v>21</v>
      </c>
      <c r="D6" s="7">
        <v>1.4</v>
      </c>
      <c r="E6" s="8">
        <f>ROUND(B6*D6,2)</f>
        <v>7</v>
      </c>
    </row>
    <row r="7" spans="1:5" x14ac:dyDescent="0.25">
      <c r="A7" t="s">
        <v>22</v>
      </c>
      <c r="B7" s="6">
        <v>3.25</v>
      </c>
      <c r="C7" t="s">
        <v>21</v>
      </c>
      <c r="D7" s="7">
        <v>0</v>
      </c>
      <c r="E7" s="8">
        <f>ROUND(B7*D7,2)</f>
        <v>0</v>
      </c>
    </row>
    <row r="8" spans="1:5" x14ac:dyDescent="0.25">
      <c r="A8" t="s">
        <v>23</v>
      </c>
      <c r="B8" s="6">
        <v>0.15</v>
      </c>
      <c r="C8" t="s">
        <v>21</v>
      </c>
      <c r="D8" s="7">
        <v>1.2</v>
      </c>
      <c r="E8" s="8">
        <f>ROUND(B8*D8,2)</f>
        <v>0.18</v>
      </c>
    </row>
    <row r="9" spans="1:5" x14ac:dyDescent="0.25">
      <c r="A9" t="s">
        <v>24</v>
      </c>
      <c r="B9" s="6">
        <v>0.01</v>
      </c>
      <c r="C9" t="s">
        <v>21</v>
      </c>
      <c r="D9" s="7">
        <v>8</v>
      </c>
      <c r="E9" s="8">
        <f>ROUND(B9*D9,2)</f>
        <v>0.08</v>
      </c>
    </row>
    <row r="10" spans="1:5" x14ac:dyDescent="0.25">
      <c r="A10" s="4" t="s">
        <v>25</v>
      </c>
      <c r="B10" s="9">
        <f>SUM(B6:B9)</f>
        <v>8.41</v>
      </c>
      <c r="C10" t="s">
        <v>21</v>
      </c>
      <c r="E10" s="10">
        <f>ROUND(SUM(E6:E9),2)</f>
        <v>7.26</v>
      </c>
    </row>
    <row r="11" spans="1:3" x14ac:dyDescent="0.25">
      <c r="A11" t="s">
        <v>26</v>
      </c>
      <c r="B11" s="11">
        <v>250</v>
      </c>
      <c r="C11" t="s">
        <v>27</v>
      </c>
    </row>
    <row r="12" spans="1:2" x14ac:dyDescent="0.25">
      <c r="A12" t="s">
        <v>28</v>
      </c>
      <c r="B12" s="12">
        <f>B10*1000/B11</f>
        <v>33.64</v>
      </c>
    </row>
    <row r="13" spans="1:2" x14ac:dyDescent="0.25">
      <c r="A13" t="s">
        <v>29</v>
      </c>
      <c r="B13" s="13">
        <v>33</v>
      </c>
    </row>
    <row r="14" spans="1:5" x14ac:dyDescent="0.25">
      <c r="A14" s="4" t="s">
        <v>30</v>
      </c>
      <c r="E14" s="10">
        <f>ROUND(E10/B13,2)</f>
        <v>0.22</v>
      </c>
    </row>
    <row r="16" spans="1:1" x14ac:dyDescent="0.25">
      <c r="A16" s="4" t="s">
        <v>31</v>
      </c>
    </row>
    <row r="17" spans="1:5" x14ac:dyDescent="0.25">
      <c r="A17" s="5" t="s">
        <v>15</v>
      </c>
      <c r="B17" s="5" t="s">
        <v>16</v>
      </c>
      <c r="C17" s="5" t="s">
        <v>17</v>
      </c>
      <c r="D17" s="5" t="s">
        <v>18</v>
      </c>
      <c r="E17" s="5" t="s">
        <v>19</v>
      </c>
    </row>
    <row r="18" spans="1:5" x14ac:dyDescent="0.25">
      <c r="A18" t="s">
        <v>32</v>
      </c>
      <c r="B18" s="13">
        <v>2</v>
      </c>
      <c r="C18" t="s">
        <v>33</v>
      </c>
      <c r="D18" s="7">
        <v>5.1</v>
      </c>
      <c r="E18" s="8">
        <f>ROUND(B18*D18,2)</f>
        <v>10.2</v>
      </c>
    </row>
    <row r="19" spans="1:3" x14ac:dyDescent="0.25">
      <c r="A19" t="s">
        <v>34</v>
      </c>
      <c r="B19" s="6">
        <v>2.55</v>
      </c>
      <c r="C19" t="s">
        <v>21</v>
      </c>
    </row>
    <row r="20" spans="1:5" x14ac:dyDescent="0.25">
      <c r="A20" t="s">
        <v>23</v>
      </c>
      <c r="B20" s="6">
        <v>0.04</v>
      </c>
      <c r="C20" t="s">
        <v>21</v>
      </c>
      <c r="D20" s="7">
        <v>1.2</v>
      </c>
      <c r="E20" s="8">
        <f>ROUND(B20*D20,2)</f>
        <v>0.05</v>
      </c>
    </row>
    <row r="21" spans="1:5" x14ac:dyDescent="0.25">
      <c r="A21" s="4" t="s">
        <v>25</v>
      </c>
      <c r="B21" s="9">
        <f>B18*B19+B20</f>
        <v>5.14</v>
      </c>
      <c r="C21" t="s">
        <v>21</v>
      </c>
      <c r="E21" s="10">
        <f>ROUND(E18+E20,2)</f>
        <v>10.25</v>
      </c>
    </row>
    <row r="22" spans="1:5" x14ac:dyDescent="0.25">
      <c r="A22" t="s">
        <v>35</v>
      </c>
      <c r="E22" s="14">
        <f>E21/B21</f>
        <v>1.9941634241</v>
      </c>
    </row>
    <row r="23" spans="1:1" x14ac:dyDescent="0.25">
      <c r="A23" s="2" t="s">
        <v>36</v>
      </c>
    </row>
    <row r="25" spans="1:1" x14ac:dyDescent="0.25">
      <c r="A25" s="4" t="s">
        <v>37</v>
      </c>
    </row>
    <row r="26" spans="1:5" x14ac:dyDescent="0.25">
      <c r="A26" s="5" t="s">
        <v>15</v>
      </c>
      <c r="B26" s="5" t="s">
        <v>16</v>
      </c>
      <c r="C26" s="5" t="s">
        <v>17</v>
      </c>
      <c r="D26" s="5" t="s">
        <v>18</v>
      </c>
      <c r="E26" s="5" t="s">
        <v>38</v>
      </c>
    </row>
    <row r="27" spans="1:4" x14ac:dyDescent="0.25">
      <c r="A27" t="s">
        <v>39</v>
      </c>
      <c r="D27" s="7">
        <v>9</v>
      </c>
    </row>
    <row r="28" spans="1:5" x14ac:dyDescent="0.25">
      <c r="A28" t="s">
        <v>40</v>
      </c>
      <c r="B28" s="11">
        <v>1000</v>
      </c>
      <c r="C28" t="s">
        <v>27</v>
      </c>
      <c r="E28" s="8">
        <f>IF(B28="","",ROUND(D27/(B28/1000),2))</f>
        <v>9</v>
      </c>
    </row>
    <row r="29" spans="1:5" x14ac:dyDescent="0.25">
      <c r="A29" t="s">
        <v>41</v>
      </c>
      <c r="B29" s="11">
        <v>750</v>
      </c>
      <c r="C29" t="s">
        <v>27</v>
      </c>
      <c r="E29" s="8">
        <f>IF(B29="","",ROUND(D27/(B29/1000),2))</f>
        <v>12</v>
      </c>
    </row>
    <row r="30" spans="1:5" x14ac:dyDescent="0.25">
      <c r="A30" t="s">
        <v>42</v>
      </c>
      <c r="B30" s="11">
        <v>700</v>
      </c>
      <c r="C30" t="s">
        <v>27</v>
      </c>
      <c r="E30" s="8">
        <f>IF(B30="","",D27/(B30/1000))</f>
        <v>12.857142857</v>
      </c>
    </row>
    <row r="31" spans="1:5" x14ac:dyDescent="0.25">
      <c r="A31" s="4" t="s">
        <v>43</v>
      </c>
      <c r="E31" s="10">
        <f>IF(B30&lt;&gt;"",E30,IF(B29&lt;&gt;"",E29,""))</f>
        <v>12.857142857</v>
      </c>
    </row>
    <row r="32" spans="1:1" x14ac:dyDescent="0.25">
      <c r="A32" s="15" t="str">
        <f>IF(AND(B30="",B29=""),"Aucun poids saisi: peser une fois un sachet tel qu'il va sur la pizza et saisir le poids.","")</f>
        <v/>
      </c>
    </row>
    <row r="33" spans="1:1" x14ac:dyDescent="0.25">
      <c r="A33" s="2" t="s">
        <v>44</v>
      </c>
    </row>
    <row r="34" spans="1:1" x14ac:dyDescent="0.25">
      <c r="A34" s="2" t="s">
        <v>45</v>
      </c>
    </row>
    <row r="38" spans="1:1" x14ac:dyDescent="0.25">
      <c r="A38" s="4" t="s">
        <v>46</v>
      </c>
    </row>
    <row r="39" spans="1:5" x14ac:dyDescent="0.25">
      <c r="A39" s="5" t="s">
        <v>15</v>
      </c>
      <c r="B39" s="5" t="s">
        <v>47</v>
      </c>
      <c r="C39" s="5" t="s">
        <v>17</v>
      </c>
      <c r="D39" s="5" t="s">
        <v>18</v>
      </c>
      <c r="E39" s="5" t="s">
        <v>47</v>
      </c>
    </row>
    <row r="40" spans="1:4" x14ac:dyDescent="0.25">
      <c r="A40" t="s">
        <v>48</v>
      </c>
      <c r="C40" t="s">
        <v>49</v>
      </c>
      <c r="D40" s="7">
        <v>12</v>
      </c>
    </row>
    <row r="41" spans="1:4" x14ac:dyDescent="0.25">
      <c r="A41" t="s">
        <v>50</v>
      </c>
      <c r="C41" t="s">
        <v>51</v>
      </c>
      <c r="D41" s="7">
        <v>30</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outlineLevelRow="0" outlineLevelCol="0" x14ac:dyDescent="55"/>
  <cols>
    <col min="1" max="1" width="22" customWidth="1"/>
    <col min="2" max="3" width="11" customWidth="1"/>
    <col min="4" max="4" width="13" customWidth="1"/>
    <col min="5" max="5" width="11" customWidth="1"/>
    <col min="6" max="8" width="13" customWidth="1"/>
    <col min="9" max="9" width="16" customWidth="1"/>
  </cols>
  <sheetData>
    <row r="1" spans="1:1" x14ac:dyDescent="0.25">
      <c r="A1" s="1" t="s">
        <v>52</v>
      </c>
    </row>
    <row r="2" spans="1:1" x14ac:dyDescent="0.25">
      <c r="A2" s="2" t="s">
        <v>13</v>
      </c>
    </row>
    <row r="4" spans="1:9" x14ac:dyDescent="0.25">
      <c r="A4" s="5" t="s">
        <v>53</v>
      </c>
      <c r="B4" s="5" t="s">
        <v>54</v>
      </c>
      <c r="C4" s="5" t="s">
        <v>55</v>
      </c>
      <c r="D4" s="5" t="s">
        <v>56</v>
      </c>
      <c r="E4" s="5" t="s">
        <v>57</v>
      </c>
      <c r="F4" s="5" t="s">
        <v>58</v>
      </c>
      <c r="G4" s="5" t="s">
        <v>59</v>
      </c>
      <c r="H4" s="5" t="s">
        <v>60</v>
      </c>
      <c r="I4" s="5" t="s">
        <v>61</v>
      </c>
    </row>
    <row r="5" spans="1:9" x14ac:dyDescent="0.25">
      <c r="A5" t="s">
        <v>62</v>
      </c>
      <c r="B5" s="13">
        <v>1</v>
      </c>
      <c r="C5" s="13">
        <v>80</v>
      </c>
      <c r="D5" s="13">
        <v>100</v>
      </c>
      <c r="E5" s="13">
        <v>5</v>
      </c>
      <c r="F5" s="13">
        <v>2</v>
      </c>
      <c r="G5" s="7">
        <v>0</v>
      </c>
      <c r="H5" s="7">
        <v>0.4</v>
      </c>
      <c r="I5" s="10">
        <f>IF(OR(A5="",'Recettes de base'!$E$31=""),"",ROUND(B5*'Recettes de base'!$E$14,2)+ROUND(C5/1000*'Recettes de base'!$E$22,2)+ROUND(D5/1000*'Recettes de base'!$E$31,2)+ROUND(E5/1000*'Recettes de base'!$D$40,2)+ROUND(F5/1000*'Recettes de base'!$D$41,2)+G5)</f>
        <v>1.79</v>
      </c>
    </row>
    <row r="6" spans="1:9" x14ac:dyDescent="0.25">
      <c r="A6" t="s">
        <v>47</v>
      </c>
      <c r="B6" s="13"/>
      <c r="C6" s="13"/>
      <c r="D6" s="13"/>
      <c r="E6" s="13"/>
      <c r="F6" s="13"/>
      <c r="G6" s="7"/>
      <c r="H6" s="7"/>
      <c r="I6" s="10" t="str">
        <f>IF(OR(A6="",'Recettes de base'!$E$31=""),"",ROUND(B6*'Recettes de base'!$E$14,2)+ROUND(C6/1000*'Recettes de base'!$E$22,2)+ROUND(D6/1000*'Recettes de base'!$E$31,2)+ROUND(E6/1000*'Recettes de base'!$D$40,2)+ROUND(F6/1000*'Recettes de base'!$D$41,2)+G6)</f>
        <v/>
      </c>
    </row>
    <row r="7" spans="1:9" x14ac:dyDescent="0.25">
      <c r="A7" t="s">
        <v>47</v>
      </c>
      <c r="B7" s="13"/>
      <c r="C7" s="13"/>
      <c r="D7" s="13"/>
      <c r="E7" s="13"/>
      <c r="F7" s="13"/>
      <c r="G7" s="7"/>
      <c r="H7" s="7"/>
      <c r="I7" s="10" t="str">
        <f>IF(OR(A7="",'Recettes de base'!$E$31=""),"",ROUND(B7*'Recettes de base'!$E$14,2)+ROUND(C7/1000*'Recettes de base'!$E$22,2)+ROUND(D7/1000*'Recettes de base'!$E$31,2)+ROUND(E7/1000*'Recettes de base'!$D$40,2)+ROUND(F7/1000*'Recettes de base'!$D$41,2)+G7)</f>
        <v/>
      </c>
    </row>
    <row r="8" spans="1:9" x14ac:dyDescent="0.25">
      <c r="A8" t="s">
        <v>47</v>
      </c>
      <c r="B8" s="13"/>
      <c r="C8" s="13"/>
      <c r="D8" s="13"/>
      <c r="E8" s="13"/>
      <c r="F8" s="13"/>
      <c r="G8" s="7"/>
      <c r="H8" s="7"/>
      <c r="I8" s="10" t="str">
        <f>IF(OR(A8="",'Recettes de base'!$E$31=""),"",ROUND(B8*'Recettes de base'!$E$14,2)+ROUND(C8/1000*'Recettes de base'!$E$22,2)+ROUND(D8/1000*'Recettes de base'!$E$31,2)+ROUND(E8/1000*'Recettes de base'!$D$40,2)+ROUND(F8/1000*'Recettes de base'!$D$41,2)+G8)</f>
        <v/>
      </c>
    </row>
    <row r="9" spans="1:9" x14ac:dyDescent="0.25">
      <c r="A9" t="s">
        <v>47</v>
      </c>
      <c r="B9" s="13"/>
      <c r="C9" s="13"/>
      <c r="D9" s="13"/>
      <c r="E9" s="13"/>
      <c r="F9" s="13"/>
      <c r="G9" s="7"/>
      <c r="H9" s="7"/>
      <c r="I9" s="10" t="str">
        <f>IF(OR(A9="",'Recettes de base'!$E$31=""),"",ROUND(B9*'Recettes de base'!$E$14,2)+ROUND(C9/1000*'Recettes de base'!$E$22,2)+ROUND(D9/1000*'Recettes de base'!$E$31,2)+ROUND(E9/1000*'Recettes de base'!$D$40,2)+ROUND(F9/1000*'Recettes de base'!$D$41,2)+G9)</f>
        <v/>
      </c>
    </row>
    <row r="11" spans="1:1" x14ac:dyDescent="0.25">
      <c r="A11" s="2" t="s">
        <v>63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5" outlineLevelRow="0" outlineLevelCol="0" x14ac:dyDescent="55"/>
  <cols>
    <col min="1" max="1" width="22" customWidth="1"/>
    <col min="2" max="11" width="14" customWidth="1"/>
  </cols>
  <sheetData>
    <row r="1" spans="1:1" x14ac:dyDescent="0.25">
      <c r="A1" s="1" t="s">
        <v>64</v>
      </c>
    </row>
    <row r="2" spans="1:1" x14ac:dyDescent="0.25">
      <c r="A2" s="2" t="s">
        <v>13</v>
      </c>
    </row>
    <row r="4" spans="1:3" x14ac:dyDescent="0.25">
      <c r="A4" t="s">
        <v>65</v>
      </c>
      <c r="B4" s="16">
        <v>0.081</v>
      </c>
      <c r="C4" s="2" t="s">
        <v>66</v>
      </c>
    </row>
    <row r="5" spans="1:2" x14ac:dyDescent="0.25">
      <c r="A5" t="s">
        <v>67</v>
      </c>
      <c r="B5" s="16">
        <v>0.026</v>
      </c>
    </row>
    <row r="7" spans="1:11" x14ac:dyDescent="0.25">
      <c r="A7" s="5" t="s">
        <v>53</v>
      </c>
      <c r="B7" s="5" t="s">
        <v>68</v>
      </c>
      <c r="C7" s="5" t="s">
        <v>69</v>
      </c>
      <c r="D7" s="5" t="s">
        <v>70</v>
      </c>
      <c r="E7" s="5" t="s">
        <v>71</v>
      </c>
      <c r="F7" s="5" t="s">
        <v>72</v>
      </c>
      <c r="G7" s="5" t="s">
        <v>73</v>
      </c>
      <c r="H7" s="5" t="s">
        <v>74</v>
      </c>
      <c r="I7" s="5" t="s">
        <v>75</v>
      </c>
      <c r="J7" s="5" t="s">
        <v>76</v>
      </c>
      <c r="K7" s="5" t="s">
        <v>77</v>
      </c>
    </row>
    <row r="8" spans="1:11" x14ac:dyDescent="0.25">
      <c r="A8" t="str">
        <f>IF('Pizzas'!A5="","",'Pizzas'!A5)</f>
        <v>Margherita</v>
      </c>
      <c r="B8" s="7">
        <v>18.5</v>
      </c>
      <c r="C8" s="7">
        <f>IF(B8="","",B8)</f>
        <v>18.5</v>
      </c>
      <c r="D8" s="8">
        <f>IF(B8="","",ROUND(B8/(1+$B$4),2))</f>
        <v>17.11</v>
      </c>
      <c r="E8" s="8">
        <f>IF(C8="","",ROUND(C8/(1+$B$5),2))</f>
        <v>18.03</v>
      </c>
      <c r="F8" s="17">
        <f>IF(OR(D8="",'Pizzas'!I5=""),"",'Pizzas'!I5/D8)</f>
        <v>0.10461718293</v>
      </c>
      <c r="G8" s="17">
        <f>IF(OR(E8="",'Pizzas'!I5=""),"",'Pizzas'!I5/E8)</f>
        <v>0.099278979479</v>
      </c>
      <c r="H8" s="8">
        <f>IF(OR(D8="",'Pizzas'!I5=""),"",ROUND(D8-'Pizzas'!I5,2))</f>
        <v>15.32</v>
      </c>
      <c r="I8" s="8">
        <f>IF(OR(E8="",'Pizzas'!I5=""),"",ROUND(E8-'Pizzas'!I5,2))</f>
        <v>16.24</v>
      </c>
      <c r="J8" s="8">
        <f>IF(I8="","",ROUND(I8-IF('Pizzas'!H5="",0,'Pizzas'!H5),2))</f>
        <v>15.84</v>
      </c>
      <c r="K8" s="8">
        <f>IF(OR(H8="",J8=""),"",ROUND(J8-H8,2))</f>
        <v>0.52</v>
      </c>
    </row>
    <row r="9" spans="1:11" x14ac:dyDescent="0.25">
      <c r="A9" t="str">
        <f>IF('Pizzas'!A6="","",'Pizzas'!A6)</f>
        <v/>
      </c>
      <c r="B9" s="7"/>
      <c r="C9" s="7" t="str">
        <f>IF(B9="","",B9)</f>
        <v/>
      </c>
      <c r="D9" s="8" t="str">
        <f>IF(B9="","",ROUND(B9/(1+$B$4),2))</f>
        <v/>
      </c>
      <c r="E9" s="8" t="str">
        <f>IF(C9="","",ROUND(C9/(1+$B$5),2))</f>
        <v/>
      </c>
      <c r="F9" s="17" t="str">
        <f>IF(OR(D9="",'Pizzas'!I6=""),"",'Pizzas'!I6/D9)</f>
        <v/>
      </c>
      <c r="G9" s="17" t="str">
        <f>IF(OR(E9="",'Pizzas'!I6=""),"",'Pizzas'!I6/E9)</f>
        <v/>
      </c>
      <c r="H9" s="8" t="str">
        <f>IF(OR(D9="",'Pizzas'!I6=""),"",ROUND(D9-'Pizzas'!I6,2))</f>
        <v/>
      </c>
      <c r="I9" s="8" t="str">
        <f>IF(OR(E9="",'Pizzas'!I6=""),"",ROUND(E9-'Pizzas'!I6,2))</f>
        <v/>
      </c>
      <c r="J9" s="8" t="str">
        <f>IF(I9="","",ROUND(I9-IF('Pizzas'!H6="",0,'Pizzas'!H6),2))</f>
        <v/>
      </c>
      <c r="K9" s="8" t="str">
        <f>IF(OR(H9="",J9=""),"",ROUND(J9-H9,2))</f>
        <v/>
      </c>
    </row>
    <row r="10" spans="1:11" x14ac:dyDescent="0.25">
      <c r="A10" t="str">
        <f>IF('Pizzas'!A7="","",'Pizzas'!A7)</f>
        <v/>
      </c>
      <c r="B10" s="7"/>
      <c r="C10" s="7" t="str">
        <f>IF(B10="","",B10)</f>
        <v/>
      </c>
      <c r="D10" s="8" t="str">
        <f>IF(B10="","",ROUND(B10/(1+$B$4),2))</f>
        <v/>
      </c>
      <c r="E10" s="8" t="str">
        <f>IF(C10="","",ROUND(C10/(1+$B$5),2))</f>
        <v/>
      </c>
      <c r="F10" s="17" t="str">
        <f>IF(OR(D10="",'Pizzas'!I7=""),"",'Pizzas'!I7/D10)</f>
        <v/>
      </c>
      <c r="G10" s="17" t="str">
        <f>IF(OR(E10="",'Pizzas'!I7=""),"",'Pizzas'!I7/E10)</f>
        <v/>
      </c>
      <c r="H10" s="8" t="str">
        <f>IF(OR(D10="",'Pizzas'!I7=""),"",ROUND(D10-'Pizzas'!I7,2))</f>
        <v/>
      </c>
      <c r="I10" s="8" t="str">
        <f>IF(OR(E10="",'Pizzas'!I7=""),"",ROUND(E10-'Pizzas'!I7,2))</f>
        <v/>
      </c>
      <c r="J10" s="8" t="str">
        <f>IF(I10="","",ROUND(I10-IF('Pizzas'!H7="",0,'Pizzas'!H7),2))</f>
        <v/>
      </c>
      <c r="K10" s="8" t="str">
        <f>IF(OR(H10="",J10=""),"",ROUND(J10-H10,2))</f>
        <v/>
      </c>
    </row>
    <row r="11" spans="1:11" x14ac:dyDescent="0.25">
      <c r="A11" t="str">
        <f>IF('Pizzas'!A8="","",'Pizzas'!A8)</f>
        <v/>
      </c>
      <c r="B11" s="7"/>
      <c r="C11" s="7" t="str">
        <f>IF(B11="","",B11)</f>
        <v/>
      </c>
      <c r="D11" s="8" t="str">
        <f>IF(B11="","",ROUND(B11/(1+$B$4),2))</f>
        <v/>
      </c>
      <c r="E11" s="8" t="str">
        <f>IF(C11="","",ROUND(C11/(1+$B$5),2))</f>
        <v/>
      </c>
      <c r="F11" s="17" t="str">
        <f>IF(OR(D11="",'Pizzas'!I8=""),"",'Pizzas'!I8/D11)</f>
        <v/>
      </c>
      <c r="G11" s="17" t="str">
        <f>IF(OR(E11="",'Pizzas'!I8=""),"",'Pizzas'!I8/E11)</f>
        <v/>
      </c>
      <c r="H11" s="8" t="str">
        <f>IF(OR(D11="",'Pizzas'!I8=""),"",ROUND(D11-'Pizzas'!I8,2))</f>
        <v/>
      </c>
      <c r="I11" s="8" t="str">
        <f>IF(OR(E11="",'Pizzas'!I8=""),"",ROUND(E11-'Pizzas'!I8,2))</f>
        <v/>
      </c>
      <c r="J11" s="8" t="str">
        <f>IF(I11="","",ROUND(I11-IF('Pizzas'!H8="",0,'Pizzas'!H8),2))</f>
        <v/>
      </c>
      <c r="K11" s="8" t="str">
        <f>IF(OR(H11="",J11=""),"",ROUND(J11-H11,2))</f>
        <v/>
      </c>
    </row>
    <row r="12" spans="1:11" x14ac:dyDescent="0.25">
      <c r="A12" t="str">
        <f>IF('Pizzas'!A9="","",'Pizzas'!A9)</f>
        <v/>
      </c>
      <c r="B12" s="7"/>
      <c r="C12" s="7" t="str">
        <f>IF(B12="","",B12)</f>
        <v/>
      </c>
      <c r="D12" s="8" t="str">
        <f>IF(B12="","",ROUND(B12/(1+$B$4),2))</f>
        <v/>
      </c>
      <c r="E12" s="8" t="str">
        <f>IF(C12="","",ROUND(C12/(1+$B$5),2))</f>
        <v/>
      </c>
      <c r="F12" s="17" t="str">
        <f>IF(OR(D12="",'Pizzas'!I9=""),"",'Pizzas'!I9/D12)</f>
        <v/>
      </c>
      <c r="G12" s="17" t="str">
        <f>IF(OR(E12="",'Pizzas'!I9=""),"",'Pizzas'!I9/E12)</f>
        <v/>
      </c>
      <c r="H12" s="8" t="str">
        <f>IF(OR(D12="",'Pizzas'!I9=""),"",ROUND(D12-'Pizzas'!I9,2))</f>
        <v/>
      </c>
      <c r="I12" s="8" t="str">
        <f>IF(OR(E12="",'Pizzas'!I9=""),"",ROUND(E12-'Pizzas'!I9,2))</f>
        <v/>
      </c>
      <c r="J12" s="8" t="str">
        <f>IF(I12="","",ROUND(I12-IF('Pizzas'!H9="",0,'Pizzas'!H9),2))</f>
        <v/>
      </c>
      <c r="K12" s="8" t="str">
        <f>IF(OR(H12="",J12=""),"",ROUND(J12-H12,2))</f>
        <v/>
      </c>
    </row>
    <row r="14" spans="1:2" x14ac:dyDescent="0.25">
      <c r="A14" s="4" t="s">
        <v>78</v>
      </c>
      <c r="B14" s="8">
        <f>IF(OR(D8="",E8=""),"",ROUND(E8-D8,2))</f>
        <v>0.92</v>
      </c>
    </row>
    <row r="15" spans="1:3" x14ac:dyDescent="0.25">
      <c r="A15" s="4" t="s">
        <v>79</v>
      </c>
      <c r="B15" s="18">
        <f>1/(1+$B$5)-1/(1+$B$4)</f>
        <v>0.049589489192</v>
      </c>
      <c r="C15" s="2" t="s">
        <v>80</v>
      </c>
    </row>
    <row r="16" spans="1:1" x14ac:dyDescent="0.25">
      <c r="A16" s="2" t="s">
        <v>81</v>
      </c>
    </row>
    <row r="17" spans="1:1" x14ac:dyDescent="0.25">
      <c r="A17" s="2"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Mode d'emploi</vt:lpstr>
      <vt:lpstr>Recettes de base</vt:lpstr>
      <vt:lpstr>Pizzas</vt:lpstr>
      <vt:lpstr>Canaux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2026-10-08T00:00:00Z</dcterms:created>
  <dcterms:modified xsi:type="dcterms:W3CDTF">2026-10-12T05:29:56Z</dcterms:modified>
</cp:coreProperties>
</file>