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nleitung" state="visible" r:id="rId4"/>
    <sheet sheetId="2" name="Grundrezepte" state="visible" r:id="rId5"/>
    <sheet sheetId="3" name="Pizzas" state="visible" r:id="rId6"/>
    <sheet sheetId="4" name="Kanäle" state="visible" r:id="rId7"/>
  </sheets>
  <calcPr calcId="171027" fullCalcOnLoad="1"/>
</workbook>
</file>

<file path=xl/sharedStrings.xml><?xml version="1.0" encoding="utf-8"?>
<sst xmlns="http://schemas.openxmlformats.org/spreadsheetml/2006/main" count="115" uniqueCount="83">
  <si>
    <t>Pizza kalkulieren: Wareneinsatz, vor Ort und zum Mitnehmen</t>
  </si>
  <si>
    <t>Kalkulationsblatt zum Artikel auf trolevo.com. Beispielpreise, Stand 2026.</t>
  </si>
  <si>
    <t>Dieses Blatt rechnet den Wareneinsatz einer Pizza aus drei Grundrezepten (Teig, Sugo, Fior di latte) und daraus pro Pizza Nettopreis, Food-Cost und Deckungsbeitrag, vor Ort und zum Mitnehmen.</t>
  </si>
  <si>
    <t>Vorbefüllt ist das Rechenbeispiel aus dem Artikel «Food-Cost in der Pizzeria» auf trolevo.com. Alle Einkaufspreise sind Beispielpreise ohne Mehrwertsteuer; der Kartenpreis ist der Bruttopreis, den der Gast bezahlt. Stand der Steuersätze: 2026.</t>
  </si>
  <si>
    <t>Annahmen des Beispiels: ein mehrwertsteuerpflichtiger Betrieb, der effektiv abrechnet und vor Ort und zum Mitnehmen mit Belegen trennt, und derselbe Kartenpreis in beiden Kanälen. Wer zum Mitnehmen günstiger verkauft, trägt diesen Preis im Blatt «Kanäle» ein.</t>
  </si>
  <si>
    <t>Eingabefelder sind hell hinterlegt, alles andere rechnet das Blatt. Jeder Betrag ist auf den Rappen gerundet, wie im Artikel.</t>
  </si>
  <si>
    <t>Fior di latte: Die Pizzas rechnen mit dem selbst gewogenen Gewicht, sonst mit dem Abtropfgewicht von der Packung. Wer nicht wägt, leert das Feld «Eigenes Gewicht». Steht kein Abtropfgewicht auf der Packung, wägt man einen Beutel einmal so, wie er auf die Pizza kommt.</t>
  </si>
  <si>
    <t>Der Pizzakarton gehört nicht zum Wareneinsatz. Er steht in einer eigenen Spalte und geht nur vom Deckungsbeitrag zum Mitnehmen ab.</t>
  </si>
  <si>
    <t>Geltungsbereich: Für Betriebe, die nach der vereinfachten Abrechnung der ESTV für kleine Imbissbetriebe abrechnen (MWST-Branchen-Info 08, Ziff. 1.3.4), gilt diese Rechnung so nicht. Wer nach der Saldosteuersatzmethode abrechnet, rechnet anders (Art. 37 Abs. 2 MWSTG). Bestellungen über eine Lieferplattform bildet das Blatt nicht ab.</t>
  </si>
  <si>
    <t>Quellen: MWSTG Art. 25 Abs. 3; MWSTV Art. 55 und 56; MeAV Art. 1, 2 und 16; ESTV, MWST-Branchen-Info 08, Ziff. 1.3.4; ESTV, Mehrwertsteuersätze.</t>
  </si>
  <si>
    <t>Dieses Blatt erklärt die Kalkulation und ist keine Steuerberatung; verbindlich sind das MWSTG, die MWSTV und die Auskünfte der Eidgenössischen Steuerverwaltung (ESTV).</t>
  </si>
  <si>
    <t>In Trolevo importieren lässt sich das Blatt nicht: Der Rezept-Import übernimmt keine Preise.</t>
  </si>
  <si>
    <t>Grundrezepte</t>
  </si>
  <si>
    <t>Vorbefüllt mit den Beispielzahlen aus dem Artikel. Eingabefelder sind hell hinterlegt.</t>
  </si>
  <si>
    <t>Grundrezept 1: Pizzateig, ein Ansatz</t>
  </si>
  <si>
    <t>Zutat</t>
  </si>
  <si>
    <t>Menge</t>
  </si>
  <si>
    <t>Einheit</t>
  </si>
  <si>
    <t>Preis pro Einheit</t>
  </si>
  <si>
    <t>Kosten</t>
  </si>
  <si>
    <t>Mehl</t>
  </si>
  <si>
    <t>kg</t>
  </si>
  <si>
    <t>Wasser</t>
  </si>
  <si>
    <t>Salz</t>
  </si>
  <si>
    <t>Hefe</t>
  </si>
  <si>
    <t>Ansatz</t>
  </si>
  <si>
    <t>Gewicht pro Teigling</t>
  </si>
  <si>
    <t>g</t>
  </si>
  <si>
    <t>Teiglinge rechnerisch</t>
  </si>
  <si>
    <t>Teiglinge abgewogen</t>
  </si>
  <si>
    <t>Kosten pro Teigling</t>
  </si>
  <si>
    <t>Grundrezept 2: Sugo, ein Ansatz</t>
  </si>
  <si>
    <t>Pelati</t>
  </si>
  <si>
    <t>Dosen</t>
  </si>
  <si>
    <t>Inhalt pro Dose</t>
  </si>
  <si>
    <t>Kilopreis Sugo</t>
  </si>
  <si>
    <t>Gerechnet auf das Gewicht des Ansatzes.</t>
  </si>
  <si>
    <t>Grundrezept 3: Fior di latte</t>
  </si>
  <si>
    <t>Kilopreis</t>
  </si>
  <si>
    <t>Preis pro Packung</t>
  </si>
  <si>
    <t>Nennfüllmenge</t>
  </si>
  <si>
    <t>Abtropfgewicht (von der Packung)</t>
  </si>
  <si>
    <t>Eigenes Gewicht, einmal gewogen</t>
  </si>
  <si>
    <t>Kilopreis für die Pizzas</t>
  </si>
  <si>
    <t>Die Pizzas rechnen mit dem eigenen Gewicht, sonst mit dem Abtropfgewicht, nie mit der Nennfüllmenge.</t>
  </si>
  <si>
    <t>Wer nicht wägt, leert das Feld «Eigenes Gewicht».</t>
  </si>
  <si>
    <t>Belag</t>
  </si>
  <si>
    <t/>
  </si>
  <si>
    <t>Olivenöl</t>
  </si>
  <si>
    <t>pro Liter</t>
  </si>
  <si>
    <t>Basilikum</t>
  </si>
  <si>
    <t>pro kg</t>
  </si>
  <si>
    <t>Pizzas</t>
  </si>
  <si>
    <t>Pizza</t>
  </si>
  <si>
    <t>Teiglinge</t>
  </si>
  <si>
    <t>Sugo (g)</t>
  </si>
  <si>
    <t>Fior di latte (g)</t>
  </si>
  <si>
    <t>Olivenöl (ml)</t>
  </si>
  <si>
    <t>Basilikum (g)</t>
  </si>
  <si>
    <t>Weitere Zutaten (CHF)</t>
  </si>
  <si>
    <t>Karton (CHF), nur zum Mitnehmen</t>
  </si>
  <si>
    <t>Wareneinsatz (ohne Karton)</t>
  </si>
  <si>
    <t>Margherita</t>
  </si>
  <si>
    <t>Weitere Pizzas derselben Grundrezepte in die leeren Zeilen eintragen.</t>
  </si>
  <si>
    <t>Kanäle</t>
  </si>
  <si>
    <t>Normalsatz, vor Ort</t>
  </si>
  <si>
    <t>MWSTG Art. 25, Stand 2026</t>
  </si>
  <si>
    <t>Reduzierter Satz, zum Mitnehmen</t>
  </si>
  <si>
    <t>Kartenpreis vor Ort</t>
  </si>
  <si>
    <t>Kartenpreis zum Mitnehmen</t>
  </si>
  <si>
    <t>Netto vor Ort</t>
  </si>
  <si>
    <t>Netto zum Mitnehmen</t>
  </si>
  <si>
    <t>Food-Cost vor Ort</t>
  </si>
  <si>
    <t>Food-Cost zum Mitnehmen</t>
  </si>
  <si>
    <t>Deckungsbeitrag vor Ort</t>
  </si>
  <si>
    <t>Deckungsbeitrag zum Mitnehmen</t>
  </si>
  <si>
    <t>Bleibt nach dem Karton</t>
  </si>
  <si>
    <t>Gegenüber vor Ort</t>
  </si>
  <si>
    <t>Karton-Schwelle in CHF</t>
  </si>
  <si>
    <t>Karton-Schwelle als Faktor</t>
  </si>
  <si>
    <t>Mal Kartenpreis; gilt nur bei gleichem Kartenpreis in beiden Kanälen.</t>
  </si>
  <si>
    <t>Kostet der Karton weniger als die Schwelle, bleibt zum Mitnehmen mehr als vor Ort.</t>
  </si>
  <si>
    <t>Gilt nicht für die vereinfachte Abrechnung der ESTV für kleine Imbissbetriebe, nicht für den Saldosteuersatz und nicht für Bestellungen über eine Lieferplattform.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</si>
</sst>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00"/>
    <numFmt numFmtId="165" formatCode="&quot;CHF &quot;0.00"/>
    <numFmt numFmtId="166" formatCode="&quot;CHF &quot;0.0000"/>
    <numFmt numFmtId="167" formatCode="0.0%"/>
    <numFmt numFmtId="168" formatCode="0.0000"/>
  </numFmts>
  <fonts count="7" x14ac:knownFonts="1">
    <font>
      <color theme="1"/>
      <family val="2"/>
      <scheme val="minor"/>
      <sz val="11"/>
      <name val="Calibri"/>
    </font>
    <font>
      <b/>
      <color rgb="FF241E18"/>
      <sz val="14"/>
      <name val="Arial"/>
    </font>
    <font>
      <i/>
      <color rgb="FF5B5249"/>
      <sz val="10"/>
      <name val="Arial"/>
    </font>
    <font>
      <color rgb="FF241E18"/>
      <sz val="10"/>
      <name val="Arial"/>
    </font>
    <font>
      <b/>
      <color rgb="FF241E18"/>
      <sz val="10"/>
      <name val="Arial"/>
    </font>
    <font>
      <b/>
      <color rgb="FFFFFFFF"/>
      <sz val="10"/>
      <name val="Arial"/>
    </font>
    <font>
      <b/>
      <color rgb="FFB3261E"/>
      <sz val="10"/>
      <name val="Arial"/>
    </font>
  </fonts>
  <fills count="4">
    <fill>
      <patternFill patternType="none"/>
    </fill>
    <fill>
      <patternFill patternType="gray125"/>
    </fill>
    <fill>
      <patternFill patternType="solid">
        <fgColor rgb="FF14181F"/>
      </patternFill>
    </fill>
    <fill>
      <patternFill patternType="solid">
        <fgColor rgb="FFF3EFE9"/>
      </patternFill>
    </fill>
  </fills>
  <borders count="2">
    <border>
      <left/>
      <right/>
      <top/>
      <bottom/>
      <diagonal/>
    </border>
    <border>
      <left/>
      <right/>
      <top/>
      <bottom style="thin">
        <color rgb="FFD3AC36"/>
      </bottom>
      <diagonal/>
    </border>
  </borders>
  <cellStyleXfs count="1">
    <xf numFmtId="0" fontId="0" fillId="0" borderId="0"/>
  </cellStyleXfs>
  <cellXfs count="19">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xf numFmtId="0" fontId="5" fillId="2" borderId="0" xfId="0" applyFont="1" applyFill="1"/>
    <xf numFmtId="164" fontId="0" fillId="3" borderId="1" xfId="0" applyNumberFormat="1" applyFill="1" applyBorder="1"/>
    <xf numFmtId="165" fontId="0" fillId="3" borderId="1" xfId="0" applyNumberFormat="1" applyFill="1" applyBorder="1"/>
    <xf numFmtId="165" fontId="0" fillId="0" borderId="0" xfId="0" applyNumberFormat="1"/>
    <xf numFmtId="164" fontId="0" fillId="0" borderId="0" xfId="0" applyNumberFormat="1"/>
    <xf numFmtId="165" fontId="4" fillId="0" borderId="0" xfId="0" applyNumberFormat="1" applyFont="1"/>
    <xf numFmtId="0" fontId="0" fillId="3" borderId="1" xfId="0" applyFill="1" applyBorder="1"/>
    <xf numFmtId="2" fontId="0" fillId="0" borderId="0" xfId="0" applyNumberFormat="1"/>
    <xf numFmtId="1" fontId="0" fillId="3" borderId="1" xfId="0" applyNumberFormat="1" applyFill="1" applyBorder="1"/>
    <xf numFmtId="166" fontId="0" fillId="0" borderId="0" xfId="0" applyNumberFormat="1"/>
    <xf numFmtId="0" fontId="6" fillId="0" borderId="0" xfId="0" applyFont="1"/>
    <xf numFmtId="167" fontId="0" fillId="3" borderId="1" xfId="0" applyNumberFormat="1" applyFill="1" applyBorder="1"/>
    <xf numFmtId="167" fontId="0" fillId="0" borderId="0" xfId="0" applyNumberFormat="1"/>
    <xf numFmtId="168"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FormatPr defaultRowHeight="15" outlineLevelRow="0" outlineLevelCol="0" x14ac:dyDescent="55"/>
  <cols>
    <col min="1" max="1" width="110" customWidth="1"/>
  </cols>
  <sheetData>
    <row r="1" spans="1:1" x14ac:dyDescent="0.25">
      <c r="A1" s="1" t="s">
        <v>0</v>
      </c>
    </row>
    <row r="2" spans="1:1" x14ac:dyDescent="0.25">
      <c r="A2" s="2" t="s">
        <v>1</v>
      </c>
    </row>
    <row r="4" spans="1:1" x14ac:dyDescent="0.25">
      <c r="A4" s="3" t="s">
        <v>2</v>
      </c>
    </row>
    <row r="5" spans="1:1" x14ac:dyDescent="0.25">
      <c r="A5" s="3" t="s">
        <v>3</v>
      </c>
    </row>
    <row r="6" spans="1:1" x14ac:dyDescent="0.25">
      <c r="A6" s="3" t="s">
        <v>4</v>
      </c>
    </row>
    <row r="7" spans="1:1" x14ac:dyDescent="0.25">
      <c r="A7" s="3" t="s">
        <v>5</v>
      </c>
    </row>
    <row r="8" spans="1:1" x14ac:dyDescent="0.25">
      <c r="A8" s="3" t="s">
        <v>6</v>
      </c>
    </row>
    <row r="9" spans="1:1" x14ac:dyDescent="0.25">
      <c r="A9" s="3" t="s">
        <v>7</v>
      </c>
    </row>
    <row r="10" spans="1:1" x14ac:dyDescent="0.25">
      <c r="A10" s="3" t="s">
        <v>8</v>
      </c>
    </row>
    <row r="11" spans="1:1" x14ac:dyDescent="0.25">
      <c r="A11" s="3" t="s">
        <v>9</v>
      </c>
    </row>
    <row r="12" spans="1:1" x14ac:dyDescent="0.25">
      <c r="A12" s="3" t="s">
        <v>10</v>
      </c>
    </row>
    <row r="13" spans="1:1" x14ac:dyDescent="0.25">
      <c r="A13" s="3"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workbookViewId="0"/>
  </sheetViews>
  <sheetFormatPr defaultRowHeight="15" outlineLevelRow="0" outlineLevelCol="0" x14ac:dyDescent="55"/>
  <cols>
    <col min="1" max="1" width="38" customWidth="1"/>
    <col min="2" max="2" width="14" customWidth="1"/>
    <col min="3" max="3" width="10" customWidth="1"/>
    <col min="4" max="5" width="16" customWidth="1"/>
  </cols>
  <sheetData>
    <row r="1" spans="1:1" x14ac:dyDescent="0.25">
      <c r="A1" s="1" t="s">
        <v>12</v>
      </c>
    </row>
    <row r="2" spans="1:1" x14ac:dyDescent="0.25">
      <c r="A2" s="2" t="s">
        <v>13</v>
      </c>
    </row>
    <row r="4" spans="1:1" x14ac:dyDescent="0.25">
      <c r="A4" s="4" t="s">
        <v>14</v>
      </c>
    </row>
    <row r="5" spans="1:5" x14ac:dyDescent="0.25">
      <c r="A5" s="5" t="s">
        <v>15</v>
      </c>
      <c r="B5" s="5" t="s">
        <v>16</v>
      </c>
      <c r="C5" s="5" t="s">
        <v>17</v>
      </c>
      <c r="D5" s="5" t="s">
        <v>18</v>
      </c>
      <c r="E5" s="5" t="s">
        <v>19</v>
      </c>
    </row>
    <row r="6" spans="1:5" x14ac:dyDescent="0.25">
      <c r="A6" t="s">
        <v>20</v>
      </c>
      <c r="B6" s="6">
        <v>5</v>
      </c>
      <c r="C6" t="s">
        <v>21</v>
      </c>
      <c r="D6" s="7">
        <v>1.4</v>
      </c>
      <c r="E6" s="8">
        <f>ROUND(B6*D6,2)</f>
        <v>7</v>
      </c>
    </row>
    <row r="7" spans="1:5" x14ac:dyDescent="0.25">
      <c r="A7" t="s">
        <v>22</v>
      </c>
      <c r="B7" s="6">
        <v>3.25</v>
      </c>
      <c r="C7" t="s">
        <v>21</v>
      </c>
      <c r="D7" s="7">
        <v>0</v>
      </c>
      <c r="E7" s="8">
        <f>ROUND(B7*D7,2)</f>
        <v>0</v>
      </c>
    </row>
    <row r="8" spans="1:5" x14ac:dyDescent="0.25">
      <c r="A8" t="s">
        <v>23</v>
      </c>
      <c r="B8" s="6">
        <v>0.15</v>
      </c>
      <c r="C8" t="s">
        <v>21</v>
      </c>
      <c r="D8" s="7">
        <v>1.2</v>
      </c>
      <c r="E8" s="8">
        <f>ROUND(B8*D8,2)</f>
        <v>0.18</v>
      </c>
    </row>
    <row r="9" spans="1:5" x14ac:dyDescent="0.25">
      <c r="A9" t="s">
        <v>24</v>
      </c>
      <c r="B9" s="6">
        <v>0.01</v>
      </c>
      <c r="C9" t="s">
        <v>21</v>
      </c>
      <c r="D9" s="7">
        <v>8</v>
      </c>
      <c r="E9" s="8">
        <f>ROUND(B9*D9,2)</f>
        <v>0.08</v>
      </c>
    </row>
    <row r="10" spans="1:5" x14ac:dyDescent="0.25">
      <c r="A10" s="4" t="s">
        <v>25</v>
      </c>
      <c r="B10" s="9">
        <f>SUM(B6:B9)</f>
        <v>8.41</v>
      </c>
      <c r="C10" t="s">
        <v>21</v>
      </c>
      <c r="E10" s="10">
        <f>ROUND(SUM(E6:E9),2)</f>
        <v>7.26</v>
      </c>
    </row>
    <row r="11" spans="1:3" x14ac:dyDescent="0.25">
      <c r="A11" t="s">
        <v>26</v>
      </c>
      <c r="B11" s="11">
        <v>250</v>
      </c>
      <c r="C11" t="s">
        <v>27</v>
      </c>
    </row>
    <row r="12" spans="1:2" x14ac:dyDescent="0.25">
      <c r="A12" t="s">
        <v>28</v>
      </c>
      <c r="B12" s="12">
        <f>B10*1000/B11</f>
        <v>33.64</v>
      </c>
    </row>
    <row r="13" spans="1:2" x14ac:dyDescent="0.25">
      <c r="A13" t="s">
        <v>29</v>
      </c>
      <c r="B13" s="13">
        <v>33</v>
      </c>
    </row>
    <row r="14" spans="1:5" x14ac:dyDescent="0.25">
      <c r="A14" s="4" t="s">
        <v>30</v>
      </c>
      <c r="E14" s="10">
        <f>ROUND(E10/B13,2)</f>
        <v>0.22</v>
      </c>
    </row>
    <row r="16" spans="1:1" x14ac:dyDescent="0.25">
      <c r="A16" s="4" t="s">
        <v>31</v>
      </c>
    </row>
    <row r="17" spans="1:5" x14ac:dyDescent="0.25">
      <c r="A17" s="5" t="s">
        <v>15</v>
      </c>
      <c r="B17" s="5" t="s">
        <v>16</v>
      </c>
      <c r="C17" s="5" t="s">
        <v>17</v>
      </c>
      <c r="D17" s="5" t="s">
        <v>18</v>
      </c>
      <c r="E17" s="5" t="s">
        <v>19</v>
      </c>
    </row>
    <row r="18" spans="1:5" x14ac:dyDescent="0.25">
      <c r="A18" t="s">
        <v>32</v>
      </c>
      <c r="B18" s="13">
        <v>2</v>
      </c>
      <c r="C18" t="s">
        <v>33</v>
      </c>
      <c r="D18" s="7">
        <v>5.1</v>
      </c>
      <c r="E18" s="8">
        <f>ROUND(B18*D18,2)</f>
        <v>10.2</v>
      </c>
    </row>
    <row r="19" spans="1:3" x14ac:dyDescent="0.25">
      <c r="A19" t="s">
        <v>34</v>
      </c>
      <c r="B19" s="6">
        <v>2.55</v>
      </c>
      <c r="C19" t="s">
        <v>21</v>
      </c>
    </row>
    <row r="20" spans="1:5" x14ac:dyDescent="0.25">
      <c r="A20" t="s">
        <v>23</v>
      </c>
      <c r="B20" s="6">
        <v>0.04</v>
      </c>
      <c r="C20" t="s">
        <v>21</v>
      </c>
      <c r="D20" s="7">
        <v>1.2</v>
      </c>
      <c r="E20" s="8">
        <f>ROUND(B20*D20,2)</f>
        <v>0.05</v>
      </c>
    </row>
    <row r="21" spans="1:5" x14ac:dyDescent="0.25">
      <c r="A21" s="4" t="s">
        <v>25</v>
      </c>
      <c r="B21" s="9">
        <f>B18*B19+B20</f>
        <v>5.14</v>
      </c>
      <c r="C21" t="s">
        <v>21</v>
      </c>
      <c r="E21" s="10">
        <f>ROUND(E18+E20,2)</f>
        <v>10.25</v>
      </c>
    </row>
    <row r="22" spans="1:5" x14ac:dyDescent="0.25">
      <c r="A22" t="s">
        <v>35</v>
      </c>
      <c r="E22" s="14">
        <f>E21/B21</f>
        <v>1.9941634241</v>
      </c>
    </row>
    <row r="23" spans="1:1" x14ac:dyDescent="0.25">
      <c r="A23" s="2" t="s">
        <v>36</v>
      </c>
    </row>
    <row r="25" spans="1:1" x14ac:dyDescent="0.25">
      <c r="A25" s="4" t="s">
        <v>37</v>
      </c>
    </row>
    <row r="26" spans="1:5" x14ac:dyDescent="0.25">
      <c r="A26" s="5" t="s">
        <v>15</v>
      </c>
      <c r="B26" s="5" t="s">
        <v>16</v>
      </c>
      <c r="C26" s="5" t="s">
        <v>17</v>
      </c>
      <c r="D26" s="5" t="s">
        <v>18</v>
      </c>
      <c r="E26" s="5" t="s">
        <v>38</v>
      </c>
    </row>
    <row r="27" spans="1:4" x14ac:dyDescent="0.25">
      <c r="A27" t="s">
        <v>39</v>
      </c>
      <c r="D27" s="7">
        <v>9</v>
      </c>
    </row>
    <row r="28" spans="1:5" x14ac:dyDescent="0.25">
      <c r="A28" t="s">
        <v>40</v>
      </c>
      <c r="B28" s="11">
        <v>1000</v>
      </c>
      <c r="C28" t="s">
        <v>27</v>
      </c>
      <c r="E28" s="8">
        <f>IF(B28="","",ROUND(D27/(B28/1000),2))</f>
        <v>9</v>
      </c>
    </row>
    <row r="29" spans="1:5" x14ac:dyDescent="0.25">
      <c r="A29" t="s">
        <v>41</v>
      </c>
      <c r="B29" s="11">
        <v>750</v>
      </c>
      <c r="C29" t="s">
        <v>27</v>
      </c>
      <c r="E29" s="8">
        <f>IF(B29="","",ROUND(D27/(B29/1000),2))</f>
        <v>12</v>
      </c>
    </row>
    <row r="30" spans="1:5" x14ac:dyDescent="0.25">
      <c r="A30" t="s">
        <v>42</v>
      </c>
      <c r="B30" s="11">
        <v>700</v>
      </c>
      <c r="C30" t="s">
        <v>27</v>
      </c>
      <c r="E30" s="8">
        <f>IF(B30="","",D27/(B30/1000))</f>
        <v>12.857142857</v>
      </c>
    </row>
    <row r="31" spans="1:5" x14ac:dyDescent="0.25">
      <c r="A31" s="4" t="s">
        <v>43</v>
      </c>
      <c r="E31" s="10">
        <f>IF(B30&lt;&gt;"",E30,IF(B29&lt;&gt;"",E29,""))</f>
        <v>12.857142857</v>
      </c>
    </row>
    <row r="32" spans="1:1" x14ac:dyDescent="0.25">
      <c r="A32" s="15" t="str">
        <f>IF(AND(B30="",B29=""),"Kein Gewicht eingetragen: einen Beutel einmal so wägen, wie er auf die Pizza kommt, und das Gewicht eintragen.","")</f>
        <v/>
      </c>
    </row>
    <row r="33" spans="1:1" x14ac:dyDescent="0.25">
      <c r="A33" s="2" t="s">
        <v>44</v>
      </c>
    </row>
    <row r="34" spans="1:1" x14ac:dyDescent="0.25">
      <c r="A34" s="2" t="s">
        <v>45</v>
      </c>
    </row>
    <row r="38" spans="1:1" x14ac:dyDescent="0.25">
      <c r="A38" s="4" t="s">
        <v>46</v>
      </c>
    </row>
    <row r="39" spans="1:5" x14ac:dyDescent="0.25">
      <c r="A39" s="5" t="s">
        <v>15</v>
      </c>
      <c r="B39" s="5" t="s">
        <v>47</v>
      </c>
      <c r="C39" s="5" t="s">
        <v>17</v>
      </c>
      <c r="D39" s="5" t="s">
        <v>18</v>
      </c>
      <c r="E39" s="5" t="s">
        <v>47</v>
      </c>
    </row>
    <row r="40" spans="1:4" x14ac:dyDescent="0.25">
      <c r="A40" t="s">
        <v>48</v>
      </c>
      <c r="C40" t="s">
        <v>49</v>
      </c>
      <c r="D40" s="7">
        <v>12</v>
      </c>
    </row>
    <row r="41" spans="1:4" x14ac:dyDescent="0.25">
      <c r="A41" t="s">
        <v>50</v>
      </c>
      <c r="C41" t="s">
        <v>51</v>
      </c>
      <c r="D41" s="7">
        <v>30</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heetViews>
  <sheetFormatPr defaultRowHeight="15" outlineLevelRow="0" outlineLevelCol="0" x14ac:dyDescent="55"/>
  <cols>
    <col min="1" max="1" width="22" customWidth="1"/>
    <col min="2" max="3" width="11" customWidth="1"/>
    <col min="4" max="4" width="13" customWidth="1"/>
    <col min="5" max="5" width="11" customWidth="1"/>
    <col min="6" max="8" width="13" customWidth="1"/>
    <col min="9" max="9" width="16" customWidth="1"/>
  </cols>
  <sheetData>
    <row r="1" spans="1:1" x14ac:dyDescent="0.25">
      <c r="A1" s="1" t="s">
        <v>52</v>
      </c>
    </row>
    <row r="2" spans="1:1" x14ac:dyDescent="0.25">
      <c r="A2" s="2" t="s">
        <v>13</v>
      </c>
    </row>
    <row r="4" spans="1:9" x14ac:dyDescent="0.25">
      <c r="A4" s="5" t="s">
        <v>53</v>
      </c>
      <c r="B4" s="5" t="s">
        <v>54</v>
      </c>
      <c r="C4" s="5" t="s">
        <v>55</v>
      </c>
      <c r="D4" s="5" t="s">
        <v>56</v>
      </c>
      <c r="E4" s="5" t="s">
        <v>57</v>
      </c>
      <c r="F4" s="5" t="s">
        <v>58</v>
      </c>
      <c r="G4" s="5" t="s">
        <v>59</v>
      </c>
      <c r="H4" s="5" t="s">
        <v>60</v>
      </c>
      <c r="I4" s="5" t="s">
        <v>61</v>
      </c>
    </row>
    <row r="5" spans="1:9" x14ac:dyDescent="0.25">
      <c r="A5" t="s">
        <v>62</v>
      </c>
      <c r="B5" s="13">
        <v>1</v>
      </c>
      <c r="C5" s="13">
        <v>80</v>
      </c>
      <c r="D5" s="13">
        <v>100</v>
      </c>
      <c r="E5" s="13">
        <v>5</v>
      </c>
      <c r="F5" s="13">
        <v>2</v>
      </c>
      <c r="G5" s="7">
        <v>0</v>
      </c>
      <c r="H5" s="7">
        <v>0.4</v>
      </c>
      <c r="I5" s="10">
        <f>IF(OR(A5="",'Grundrezepte'!$E$31=""),"",ROUND(B5*'Grundrezepte'!$E$14,2)+ROUND(C5/1000*'Grundrezepte'!$E$22,2)+ROUND(D5/1000*'Grundrezepte'!$E$31,2)+ROUND(E5/1000*'Grundrezepte'!$D$40,2)+ROUND(F5/1000*'Grundrezepte'!$D$41,2)+G5)</f>
        <v>1.79</v>
      </c>
    </row>
    <row r="6" spans="1:9" x14ac:dyDescent="0.25">
      <c r="A6" t="s">
        <v>47</v>
      </c>
      <c r="B6" s="13"/>
      <c r="C6" s="13"/>
      <c r="D6" s="13"/>
      <c r="E6" s="13"/>
      <c r="F6" s="13"/>
      <c r="G6" s="7"/>
      <c r="H6" s="7"/>
      <c r="I6" s="10" t="str">
        <f>IF(OR(A6="",'Grundrezepte'!$E$31=""),"",ROUND(B6*'Grundrezepte'!$E$14,2)+ROUND(C6/1000*'Grundrezepte'!$E$22,2)+ROUND(D6/1000*'Grundrezepte'!$E$31,2)+ROUND(E6/1000*'Grundrezepte'!$D$40,2)+ROUND(F6/1000*'Grundrezepte'!$D$41,2)+G6)</f>
        <v/>
      </c>
    </row>
    <row r="7" spans="1:9" x14ac:dyDescent="0.25">
      <c r="A7" t="s">
        <v>47</v>
      </c>
      <c r="B7" s="13"/>
      <c r="C7" s="13"/>
      <c r="D7" s="13"/>
      <c r="E7" s="13"/>
      <c r="F7" s="13"/>
      <c r="G7" s="7"/>
      <c r="H7" s="7"/>
      <c r="I7" s="10" t="str">
        <f>IF(OR(A7="",'Grundrezepte'!$E$31=""),"",ROUND(B7*'Grundrezepte'!$E$14,2)+ROUND(C7/1000*'Grundrezepte'!$E$22,2)+ROUND(D7/1000*'Grundrezepte'!$E$31,2)+ROUND(E7/1000*'Grundrezepte'!$D$40,2)+ROUND(F7/1000*'Grundrezepte'!$D$41,2)+G7)</f>
        <v/>
      </c>
    </row>
    <row r="8" spans="1:9" x14ac:dyDescent="0.25">
      <c r="A8" t="s">
        <v>47</v>
      </c>
      <c r="B8" s="13"/>
      <c r="C8" s="13"/>
      <c r="D8" s="13"/>
      <c r="E8" s="13"/>
      <c r="F8" s="13"/>
      <c r="G8" s="7"/>
      <c r="H8" s="7"/>
      <c r="I8" s="10" t="str">
        <f>IF(OR(A8="",'Grundrezepte'!$E$31=""),"",ROUND(B8*'Grundrezepte'!$E$14,2)+ROUND(C8/1000*'Grundrezepte'!$E$22,2)+ROUND(D8/1000*'Grundrezepte'!$E$31,2)+ROUND(E8/1000*'Grundrezepte'!$D$40,2)+ROUND(F8/1000*'Grundrezepte'!$D$41,2)+G8)</f>
        <v/>
      </c>
    </row>
    <row r="9" spans="1:9" x14ac:dyDescent="0.25">
      <c r="A9" t="s">
        <v>47</v>
      </c>
      <c r="B9" s="13"/>
      <c r="C9" s="13"/>
      <c r="D9" s="13"/>
      <c r="E9" s="13"/>
      <c r="F9" s="13"/>
      <c r="G9" s="7"/>
      <c r="H9" s="7"/>
      <c r="I9" s="10" t="str">
        <f>IF(OR(A9="",'Grundrezepte'!$E$31=""),"",ROUND(B9*'Grundrezepte'!$E$14,2)+ROUND(C9/1000*'Grundrezepte'!$E$22,2)+ROUND(D9/1000*'Grundrezepte'!$E$31,2)+ROUND(E9/1000*'Grundrezepte'!$D$40,2)+ROUND(F9/1000*'Grundrezepte'!$D$41,2)+G9)</f>
        <v/>
      </c>
    </row>
    <row r="11" spans="1:1" x14ac:dyDescent="0.25">
      <c r="A11" s="2" t="s">
        <v>63</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heetViews>
  <sheetFormatPr defaultRowHeight="15" outlineLevelRow="0" outlineLevelCol="0" x14ac:dyDescent="55"/>
  <cols>
    <col min="1" max="1" width="22" customWidth="1"/>
    <col min="2" max="11" width="14" customWidth="1"/>
  </cols>
  <sheetData>
    <row r="1" spans="1:1" x14ac:dyDescent="0.25">
      <c r="A1" s="1" t="s">
        <v>64</v>
      </c>
    </row>
    <row r="2" spans="1:1" x14ac:dyDescent="0.25">
      <c r="A2" s="2" t="s">
        <v>13</v>
      </c>
    </row>
    <row r="4" spans="1:3" x14ac:dyDescent="0.25">
      <c r="A4" t="s">
        <v>65</v>
      </c>
      <c r="B4" s="16">
        <v>0.081</v>
      </c>
      <c r="C4" s="2" t="s">
        <v>66</v>
      </c>
    </row>
    <row r="5" spans="1:2" x14ac:dyDescent="0.25">
      <c r="A5" t="s">
        <v>67</v>
      </c>
      <c r="B5" s="16">
        <v>0.026</v>
      </c>
    </row>
    <row r="7" spans="1:11" x14ac:dyDescent="0.25">
      <c r="A7" s="5" t="s">
        <v>53</v>
      </c>
      <c r="B7" s="5" t="s">
        <v>68</v>
      </c>
      <c r="C7" s="5" t="s">
        <v>69</v>
      </c>
      <c r="D7" s="5" t="s">
        <v>70</v>
      </c>
      <c r="E7" s="5" t="s">
        <v>71</v>
      </c>
      <c r="F7" s="5" t="s">
        <v>72</v>
      </c>
      <c r="G7" s="5" t="s">
        <v>73</v>
      </c>
      <c r="H7" s="5" t="s">
        <v>74</v>
      </c>
      <c r="I7" s="5" t="s">
        <v>75</v>
      </c>
      <c r="J7" s="5" t="s">
        <v>76</v>
      </c>
      <c r="K7" s="5" t="s">
        <v>77</v>
      </c>
    </row>
    <row r="8" spans="1:11" x14ac:dyDescent="0.25">
      <c r="A8" t="str">
        <f>IF('Pizzas'!A5="","",'Pizzas'!A5)</f>
        <v>Margherita</v>
      </c>
      <c r="B8" s="7">
        <v>18.5</v>
      </c>
      <c r="C8" s="7">
        <f>IF(B8="","",B8)</f>
        <v>18.5</v>
      </c>
      <c r="D8" s="8">
        <f>IF(B8="","",ROUND(B8/(1+$B$4),2))</f>
        <v>17.11</v>
      </c>
      <c r="E8" s="8">
        <f>IF(C8="","",ROUND(C8/(1+$B$5),2))</f>
        <v>18.03</v>
      </c>
      <c r="F8" s="17">
        <f>IF(OR(D8="",'Pizzas'!I5=""),"",'Pizzas'!I5/D8)</f>
        <v>0.10461718293</v>
      </c>
      <c r="G8" s="17">
        <f>IF(OR(E8="",'Pizzas'!I5=""),"",'Pizzas'!I5/E8)</f>
        <v>0.099278979479</v>
      </c>
      <c r="H8" s="8">
        <f>IF(OR(D8="",'Pizzas'!I5=""),"",ROUND(D8-'Pizzas'!I5,2))</f>
        <v>15.32</v>
      </c>
      <c r="I8" s="8">
        <f>IF(OR(E8="",'Pizzas'!I5=""),"",ROUND(E8-'Pizzas'!I5,2))</f>
        <v>16.24</v>
      </c>
      <c r="J8" s="8">
        <f>IF(I8="","",ROUND(I8-IF('Pizzas'!H5="",0,'Pizzas'!H5),2))</f>
        <v>15.84</v>
      </c>
      <c r="K8" s="8">
        <f>IF(OR(H8="",J8=""),"",ROUND(J8-H8,2))</f>
        <v>0.52</v>
      </c>
    </row>
    <row r="9" spans="1:11" x14ac:dyDescent="0.25">
      <c r="A9" t="str">
        <f>IF('Pizzas'!A6="","",'Pizzas'!A6)</f>
        <v/>
      </c>
      <c r="B9" s="7"/>
      <c r="C9" s="7" t="str">
        <f>IF(B9="","",B9)</f>
        <v/>
      </c>
      <c r="D9" s="8" t="str">
        <f>IF(B9="","",ROUND(B9/(1+$B$4),2))</f>
        <v/>
      </c>
      <c r="E9" s="8" t="str">
        <f>IF(C9="","",ROUND(C9/(1+$B$5),2))</f>
        <v/>
      </c>
      <c r="F9" s="17" t="str">
        <f>IF(OR(D9="",'Pizzas'!I6=""),"",'Pizzas'!I6/D9)</f>
        <v/>
      </c>
      <c r="G9" s="17" t="str">
        <f>IF(OR(E9="",'Pizzas'!I6=""),"",'Pizzas'!I6/E9)</f>
        <v/>
      </c>
      <c r="H9" s="8" t="str">
        <f>IF(OR(D9="",'Pizzas'!I6=""),"",ROUND(D9-'Pizzas'!I6,2))</f>
        <v/>
      </c>
      <c r="I9" s="8" t="str">
        <f>IF(OR(E9="",'Pizzas'!I6=""),"",ROUND(E9-'Pizzas'!I6,2))</f>
        <v/>
      </c>
      <c r="J9" s="8" t="str">
        <f>IF(I9="","",ROUND(I9-IF('Pizzas'!H6="",0,'Pizzas'!H6),2))</f>
        <v/>
      </c>
      <c r="K9" s="8" t="str">
        <f>IF(OR(H9="",J9=""),"",ROUND(J9-H9,2))</f>
        <v/>
      </c>
    </row>
    <row r="10" spans="1:11" x14ac:dyDescent="0.25">
      <c r="A10" t="str">
        <f>IF('Pizzas'!A7="","",'Pizzas'!A7)</f>
        <v/>
      </c>
      <c r="B10" s="7"/>
      <c r="C10" s="7" t="str">
        <f>IF(B10="","",B10)</f>
        <v/>
      </c>
      <c r="D10" s="8" t="str">
        <f>IF(B10="","",ROUND(B10/(1+$B$4),2))</f>
        <v/>
      </c>
      <c r="E10" s="8" t="str">
        <f>IF(C10="","",ROUND(C10/(1+$B$5),2))</f>
        <v/>
      </c>
      <c r="F10" s="17" t="str">
        <f>IF(OR(D10="",'Pizzas'!I7=""),"",'Pizzas'!I7/D10)</f>
        <v/>
      </c>
      <c r="G10" s="17" t="str">
        <f>IF(OR(E10="",'Pizzas'!I7=""),"",'Pizzas'!I7/E10)</f>
        <v/>
      </c>
      <c r="H10" s="8" t="str">
        <f>IF(OR(D10="",'Pizzas'!I7=""),"",ROUND(D10-'Pizzas'!I7,2))</f>
        <v/>
      </c>
      <c r="I10" s="8" t="str">
        <f>IF(OR(E10="",'Pizzas'!I7=""),"",ROUND(E10-'Pizzas'!I7,2))</f>
        <v/>
      </c>
      <c r="J10" s="8" t="str">
        <f>IF(I10="","",ROUND(I10-IF('Pizzas'!H7="",0,'Pizzas'!H7),2))</f>
        <v/>
      </c>
      <c r="K10" s="8" t="str">
        <f>IF(OR(H10="",J10=""),"",ROUND(J10-H10,2))</f>
        <v/>
      </c>
    </row>
    <row r="11" spans="1:11" x14ac:dyDescent="0.25">
      <c r="A11" t="str">
        <f>IF('Pizzas'!A8="","",'Pizzas'!A8)</f>
        <v/>
      </c>
      <c r="B11" s="7"/>
      <c r="C11" s="7" t="str">
        <f>IF(B11="","",B11)</f>
        <v/>
      </c>
      <c r="D11" s="8" t="str">
        <f>IF(B11="","",ROUND(B11/(1+$B$4),2))</f>
        <v/>
      </c>
      <c r="E11" s="8" t="str">
        <f>IF(C11="","",ROUND(C11/(1+$B$5),2))</f>
        <v/>
      </c>
      <c r="F11" s="17" t="str">
        <f>IF(OR(D11="",'Pizzas'!I8=""),"",'Pizzas'!I8/D11)</f>
        <v/>
      </c>
      <c r="G11" s="17" t="str">
        <f>IF(OR(E11="",'Pizzas'!I8=""),"",'Pizzas'!I8/E11)</f>
        <v/>
      </c>
      <c r="H11" s="8" t="str">
        <f>IF(OR(D11="",'Pizzas'!I8=""),"",ROUND(D11-'Pizzas'!I8,2))</f>
        <v/>
      </c>
      <c r="I11" s="8" t="str">
        <f>IF(OR(E11="",'Pizzas'!I8=""),"",ROUND(E11-'Pizzas'!I8,2))</f>
        <v/>
      </c>
      <c r="J11" s="8" t="str">
        <f>IF(I11="","",ROUND(I11-IF('Pizzas'!H8="",0,'Pizzas'!H8),2))</f>
        <v/>
      </c>
      <c r="K11" s="8" t="str">
        <f>IF(OR(H11="",J11=""),"",ROUND(J11-H11,2))</f>
        <v/>
      </c>
    </row>
    <row r="12" spans="1:11" x14ac:dyDescent="0.25">
      <c r="A12" t="str">
        <f>IF('Pizzas'!A9="","",'Pizzas'!A9)</f>
        <v/>
      </c>
      <c r="B12" s="7"/>
      <c r="C12" s="7" t="str">
        <f>IF(B12="","",B12)</f>
        <v/>
      </c>
      <c r="D12" s="8" t="str">
        <f>IF(B12="","",ROUND(B12/(1+$B$4),2))</f>
        <v/>
      </c>
      <c r="E12" s="8" t="str">
        <f>IF(C12="","",ROUND(C12/(1+$B$5),2))</f>
        <v/>
      </c>
      <c r="F12" s="17" t="str">
        <f>IF(OR(D12="",'Pizzas'!I9=""),"",'Pizzas'!I9/D12)</f>
        <v/>
      </c>
      <c r="G12" s="17" t="str">
        <f>IF(OR(E12="",'Pizzas'!I9=""),"",'Pizzas'!I9/E12)</f>
        <v/>
      </c>
      <c r="H12" s="8" t="str">
        <f>IF(OR(D12="",'Pizzas'!I9=""),"",ROUND(D12-'Pizzas'!I9,2))</f>
        <v/>
      </c>
      <c r="I12" s="8" t="str">
        <f>IF(OR(E12="",'Pizzas'!I9=""),"",ROUND(E12-'Pizzas'!I9,2))</f>
        <v/>
      </c>
      <c r="J12" s="8" t="str">
        <f>IF(I12="","",ROUND(I12-IF('Pizzas'!H9="",0,'Pizzas'!H9),2))</f>
        <v/>
      </c>
      <c r="K12" s="8" t="str">
        <f>IF(OR(H12="",J12=""),"",ROUND(J12-H12,2))</f>
        <v/>
      </c>
    </row>
    <row r="14" spans="1:2" x14ac:dyDescent="0.25">
      <c r="A14" s="4" t="s">
        <v>78</v>
      </c>
      <c r="B14" s="8">
        <f>IF(OR(D8="",E8=""),"",ROUND(E8-D8,2))</f>
        <v>0.92</v>
      </c>
    </row>
    <row r="15" spans="1:3" x14ac:dyDescent="0.25">
      <c r="A15" s="4" t="s">
        <v>79</v>
      </c>
      <c r="B15" s="18">
        <f>1/(1+$B$5)-1/(1+$B$4)</f>
        <v>0.049589489192</v>
      </c>
      <c r="C15" s="2" t="s">
        <v>80</v>
      </c>
    </row>
    <row r="16" spans="1:1" x14ac:dyDescent="0.25">
      <c r="A16" s="2" t="s">
        <v>81</v>
      </c>
    </row>
    <row r="17" spans="1:1" x14ac:dyDescent="0.25">
      <c r="A17" s="2" t="s">
        <v>82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Anleitung</vt:lpstr>
      <vt:lpstr>Grundrezepte</vt:lpstr>
      <vt:lpstr>Pizzas</vt:lpstr>
      <vt:lpstr>Kanäle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Trolevo</dc:creator>
  <dc:title/>
  <dc:subject/>
  <dc:description/>
  <cp:keywords/>
  <cp:category/>
  <cp:lastModifiedBy>Unknown</cp:lastModifiedBy>
  <dcterms:created xsi:type="dcterms:W3CDTF">2026-10-08T00:00:00Z</dcterms:created>
  <dcterms:modified xsi:type="dcterms:W3CDTF">2026-10-12T05:29:55Z</dcterms:modified>
</cp:coreProperties>
</file>