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Base recipes" state="visible" r:id="rId5"/>
    <sheet sheetId="3" name="Pizzas" state="visible" r:id="rId6"/>
    <sheet sheetId="4" name="Channels" state="visible" r:id="rId7"/>
  </sheets>
  <calcPr calcId="171027" fullCalcOnLoad="1"/>
</workbook>
</file>

<file path=xl/sharedStrings.xml><?xml version="1.0" encoding="utf-8"?>
<sst xmlns="http://schemas.openxmlformats.org/spreadsheetml/2006/main" count="115" uniqueCount="83">
  <si>
    <t>Pizza food cost: dine-in and take-away</t>
  </si>
  <si>
    <t>Costing sheet for the article on trolevo.com. Example prices, as of 2026.</t>
  </si>
  <si>
    <t>This sheet works out the food cost of a pizza from three base recipes (dough, tomato sauce, fior di latte) and, per pizza, the net price, food cost percentage and contribution margin, dine-in and take-away.</t>
  </si>
  <si>
    <t>It is prefilled with the worked example from the article 'Pizza food cost' on trolevo.com. All purchase prices are example prices excluding VAT; the menu price is the gross price the guest pays. VAT rates as of 2026.</t>
  </si>
  <si>
    <t>Assumptions of the example: a VAT-registered business that uses the effective method and separates dine-in and take-away with receipts, and the same menu price in both channels. If you sell cheaper for take-away, enter that price on the 'Channels' sheet.</t>
  </si>
  <si>
    <t>Input cells are shaded light; the sheet calculates everything else. Every amount is rounded to the centime, as in the article.</t>
  </si>
  <si>
    <t>Fior di latte: the pizzas use your own weighed weight, otherwise the drained weight on the pack. If you do not weigh, clear the 'Own weight' field. If the pack states no drained weight, weigh one bag once, the way it goes on the pizza.</t>
  </si>
  <si>
    <t>The pizza box is not part of the food cost. It has its own column and comes off the take-away contribution margin only.</t>
  </si>
  <si>
    <t>Scope: for businesses using the FTA's simplified method for small snack bars (VAT sector info 08, para. 1.3.4), this calculation does not apply as it stands. Anyone using the net tax rate method works it out differently (Art. 37 para. 2 VAT Act). Orders through a delivery platform are not covered.</t>
  </si>
  <si>
    <t>Sources: VAT Act Art. 25 para. 3; VAT Ordinance Art. 55 and 56; MeAV Art. 1, 2 and 16; FTA, VAT sector info 08, para. 1.3.4; FTA, VAT rates. The German, French and Italian texts are binding; English texts are for information only.</t>
  </si>
  <si>
    <t>This sheet explains costing and is not tax advice; what is authoritative is the VAT Act, the VAT Ordinance and guidance from the Federal Tax Administration (FTA).</t>
  </si>
  <si>
    <t>The sheet cannot be imported into Trolevo: the recipe import does not take prices.</t>
  </si>
  <si>
    <t>Base recipes</t>
  </si>
  <si>
    <t>Prefilled with the example figures from the article. Input cells are shaded light.</t>
  </si>
  <si>
    <t>Base recipe 1: pizza dough, one batch</t>
  </si>
  <si>
    <t>Item</t>
  </si>
  <si>
    <t>Quantity</t>
  </si>
  <si>
    <t>Unit</t>
  </si>
  <si>
    <t>Price per unit</t>
  </si>
  <si>
    <t>Cost</t>
  </si>
  <si>
    <t>Flour</t>
  </si>
  <si>
    <t>kg</t>
  </si>
  <si>
    <t>Water</t>
  </si>
  <si>
    <t>Salt</t>
  </si>
  <si>
    <t>Yeast</t>
  </si>
  <si>
    <t>Batch</t>
  </si>
  <si>
    <t>Weight per dough ball</t>
  </si>
  <si>
    <t>g</t>
  </si>
  <si>
    <t>Dough balls on paper</t>
  </si>
  <si>
    <t>Dough balls weighed out</t>
  </si>
  <si>
    <t>Cost per dough ball</t>
  </si>
  <si>
    <t>Base recipe 2: tomato sauce, one batch</t>
  </si>
  <si>
    <t>Peeled tomatoes</t>
  </si>
  <si>
    <t>tins</t>
  </si>
  <si>
    <t>Contents per tin</t>
  </si>
  <si>
    <t>Sauce price per kilo</t>
  </si>
  <si>
    <t>Calculated on the weight of the batch.</t>
  </si>
  <si>
    <t>Base recipe 3: fior di latte</t>
  </si>
  <si>
    <t>Price per kilo</t>
  </si>
  <si>
    <t>Price per pack</t>
  </si>
  <si>
    <t>Nominal quantity</t>
  </si>
  <si>
    <t>Drained weight (on the pack)</t>
  </si>
  <si>
    <t>Own weight, weighed once</t>
  </si>
  <si>
    <t>Price per kilo for the pizzas</t>
  </si>
  <si>
    <t>The pizzas use your own weight, otherwise the drained weight, never the nominal quantity.</t>
  </si>
  <si>
    <t>If you do not weigh, clear the 'Own weight' field.</t>
  </si>
  <si>
    <t>Toppings</t>
  </si>
  <si>
    <t/>
  </si>
  <si>
    <t>Olive oil</t>
  </si>
  <si>
    <t>per litre</t>
  </si>
  <si>
    <t>Basil</t>
  </si>
  <si>
    <t>per kg</t>
  </si>
  <si>
    <t>Pizzas</t>
  </si>
  <si>
    <t>Pizza</t>
  </si>
  <si>
    <t>Dough balls</t>
  </si>
  <si>
    <t>Sauce (g)</t>
  </si>
  <si>
    <t>Fior di latte (g)</t>
  </si>
  <si>
    <t>Olive oil (ml)</t>
  </si>
  <si>
    <t>Basil (g)</t>
  </si>
  <si>
    <t>Other ingredients (CHF)</t>
  </si>
  <si>
    <t>Box (CHF), take-away only</t>
  </si>
  <si>
    <t>Food cost (without box)</t>
  </si>
  <si>
    <t>Margherita</t>
  </si>
  <si>
    <t>Enter more pizzas from the same base recipes in the empty rows.</t>
  </si>
  <si>
    <t>Channels</t>
  </si>
  <si>
    <t>Standard rate, dine-in</t>
  </si>
  <si>
    <t>VAT Act Art. 25, as of 2026</t>
  </si>
  <si>
    <t>Reduced rate, take-away</t>
  </si>
  <si>
    <t>Menu price dine-in</t>
  </si>
  <si>
    <t>Menu price take-away</t>
  </si>
  <si>
    <t>Net dine-in</t>
  </si>
  <si>
    <t>Net take-away</t>
  </si>
  <si>
    <t>Food cost % dine-in</t>
  </si>
  <si>
    <t>Food cost % take-away</t>
  </si>
  <si>
    <t>Contribution margin dine-in</t>
  </si>
  <si>
    <t>Contribution margin take-away</t>
  </si>
  <si>
    <t>Left after the box</t>
  </si>
  <si>
    <t>Compared with dine-in</t>
  </si>
  <si>
    <t>Box threshold in CHF</t>
  </si>
  <si>
    <t>Box threshold as a factor</t>
  </si>
  <si>
    <t>Times the menu price; applies only at the same menu price in both channels.</t>
  </si>
  <si>
    <t>If the box costs less than the threshold, more is left for take-away than dine-in.</t>
  </si>
  <si>
    <t>Does not apply as it stands to the FTA's simplified method for small snack bars, the net tax rate method or orders through a delivery platform.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</si>
</sst>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0"/>
    <numFmt numFmtId="165" formatCode="&quot;CHF &quot;0.00"/>
    <numFmt numFmtId="166" formatCode="&quot;CHF &quot;0.0000"/>
    <numFmt numFmtId="167" formatCode="0.0%"/>
    <numFmt numFmtId="168" formatCode="0.0000"/>
  </numFmts>
  <fonts count="7" x14ac:knownFonts="1">
    <font>
      <color theme="1"/>
      <family val="2"/>
      <scheme val="minor"/>
      <sz val="11"/>
      <name val="Calibri"/>
    </font>
    <font>
      <b/>
      <color rgb="FF241E18"/>
      <sz val="14"/>
      <name val="Arial"/>
    </font>
    <font>
      <i/>
      <color rgb="FF5B5249"/>
      <sz val="10"/>
      <name val="Arial"/>
    </font>
    <font>
      <color rgb="FF241E18"/>
      <sz val="10"/>
      <name val="Arial"/>
    </font>
    <font>
      <b/>
      <color rgb="FF241E18"/>
      <sz val="10"/>
      <name val="Arial"/>
    </font>
    <font>
      <b/>
      <color rgb="FFFFFFFF"/>
      <sz val="10"/>
      <name val="Arial"/>
    </font>
    <font>
      <b/>
      <color rgb="FFB3261E"/>
      <sz val="10"/>
      <name val="Arial"/>
    </font>
  </fonts>
  <fills count="4">
    <fill>
      <patternFill patternType="none"/>
    </fill>
    <fill>
      <patternFill patternType="gray125"/>
    </fill>
    <fill>
      <patternFill patternType="solid">
        <fgColor rgb="FF14181F"/>
      </patternFill>
    </fill>
    <fill>
      <patternFill patternType="solid">
        <fgColor rgb="FFF3EFE9"/>
      </patternFill>
    </fill>
  </fills>
  <borders count="2">
    <border>
      <left/>
      <right/>
      <top/>
      <bottom/>
      <diagonal/>
    </border>
    <border>
      <left/>
      <right/>
      <top/>
      <bottom style="thin">
        <color rgb="FFD3AC36"/>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xf numFmtId="0" fontId="5" fillId="2" borderId="0" xfId="0" applyFont="1" applyFill="1"/>
    <xf numFmtId="164" fontId="0" fillId="3" borderId="1" xfId="0" applyNumberFormat="1" applyFill="1" applyBorder="1"/>
    <xf numFmtId="165" fontId="0" fillId="3" borderId="1" xfId="0" applyNumberFormat="1" applyFill="1" applyBorder="1"/>
    <xf numFmtId="165" fontId="0" fillId="0" borderId="0" xfId="0" applyNumberFormat="1"/>
    <xf numFmtId="164" fontId="0" fillId="0" borderId="0" xfId="0" applyNumberFormat="1"/>
    <xf numFmtId="165" fontId="4" fillId="0" borderId="0" xfId="0" applyNumberFormat="1" applyFont="1"/>
    <xf numFmtId="0" fontId="0" fillId="3" borderId="1" xfId="0" applyFill="1" applyBorder="1"/>
    <xf numFmtId="2" fontId="0" fillId="0" borderId="0" xfId="0" applyNumberFormat="1"/>
    <xf numFmtId="1" fontId="0" fillId="3" borderId="1" xfId="0" applyNumberFormat="1" applyFill="1" applyBorder="1"/>
    <xf numFmtId="166" fontId="0" fillId="0" borderId="0" xfId="0" applyNumberFormat="1"/>
    <xf numFmtId="0" fontId="6" fillId="0" borderId="0" xfId="0" applyFont="1"/>
    <xf numFmtId="167" fontId="0" fillId="3" borderId="1" xfId="0" applyNumberFormat="1" applyFill="1" applyBorder="1"/>
    <xf numFmtId="167" fontId="0" fillId="0" borderId="0" xfId="0" applyNumberFormat="1"/>
    <xf numFmtId="168"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FormatPr defaultRowHeight="15" outlineLevelRow="0" outlineLevelCol="0" x14ac:dyDescent="55"/>
  <cols>
    <col min="1" max="1" width="110" customWidth="1"/>
  </cols>
  <sheetData>
    <row r="1" spans="1:1" x14ac:dyDescent="0.25">
      <c r="A1" s="1" t="s">
        <v>0</v>
      </c>
    </row>
    <row r="2" spans="1:1" x14ac:dyDescent="0.25">
      <c r="A2" s="2" t="s">
        <v>1</v>
      </c>
    </row>
    <row r="4" spans="1:1" x14ac:dyDescent="0.25">
      <c r="A4" s="3" t="s">
        <v>2</v>
      </c>
    </row>
    <row r="5" spans="1:1" x14ac:dyDescent="0.25">
      <c r="A5" s="3" t="s">
        <v>3</v>
      </c>
    </row>
    <row r="6" spans="1:1" x14ac:dyDescent="0.25">
      <c r="A6" s="3" t="s">
        <v>4</v>
      </c>
    </row>
    <row r="7" spans="1:1" x14ac:dyDescent="0.25">
      <c r="A7" s="3" t="s">
        <v>5</v>
      </c>
    </row>
    <row r="8" spans="1:1" x14ac:dyDescent="0.25">
      <c r="A8" s="3" t="s">
        <v>6</v>
      </c>
    </row>
    <row r="9" spans="1:1" x14ac:dyDescent="0.25">
      <c r="A9" s="3" t="s">
        <v>7</v>
      </c>
    </row>
    <row r="10" spans="1:1" x14ac:dyDescent="0.25">
      <c r="A10" s="3" t="s">
        <v>8</v>
      </c>
    </row>
    <row r="11" spans="1:1" x14ac:dyDescent="0.25">
      <c r="A11" s="3" t="s">
        <v>9</v>
      </c>
    </row>
    <row r="12" spans="1:1" x14ac:dyDescent="0.25">
      <c r="A12" s="3" t="s">
        <v>10</v>
      </c>
    </row>
    <row r="13" spans="1:1" x14ac:dyDescent="0.25">
      <c r="A13" s="3"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workbookViewId="0"/>
  </sheetViews>
  <sheetFormatPr defaultRowHeight="15" outlineLevelRow="0" outlineLevelCol="0" x14ac:dyDescent="55"/>
  <cols>
    <col min="1" max="1" width="38" customWidth="1"/>
    <col min="2" max="2" width="14" customWidth="1"/>
    <col min="3" max="3" width="10" customWidth="1"/>
    <col min="4" max="5" width="16" customWidth="1"/>
  </cols>
  <sheetData>
    <row r="1" spans="1:1" x14ac:dyDescent="0.25">
      <c r="A1" s="1" t="s">
        <v>12</v>
      </c>
    </row>
    <row r="2" spans="1:1" x14ac:dyDescent="0.25">
      <c r="A2" s="2" t="s">
        <v>13</v>
      </c>
    </row>
    <row r="4" spans="1:1" x14ac:dyDescent="0.25">
      <c r="A4" s="4" t="s">
        <v>14</v>
      </c>
    </row>
    <row r="5" spans="1:5" x14ac:dyDescent="0.25">
      <c r="A5" s="5" t="s">
        <v>15</v>
      </c>
      <c r="B5" s="5" t="s">
        <v>16</v>
      </c>
      <c r="C5" s="5" t="s">
        <v>17</v>
      </c>
      <c r="D5" s="5" t="s">
        <v>18</v>
      </c>
      <c r="E5" s="5" t="s">
        <v>19</v>
      </c>
    </row>
    <row r="6" spans="1:5" x14ac:dyDescent="0.25">
      <c r="A6" t="s">
        <v>20</v>
      </c>
      <c r="B6" s="6">
        <v>5</v>
      </c>
      <c r="C6" t="s">
        <v>21</v>
      </c>
      <c r="D6" s="7">
        <v>1.4</v>
      </c>
      <c r="E6" s="8">
        <f>ROUND(B6*D6,2)</f>
        <v>7</v>
      </c>
    </row>
    <row r="7" spans="1:5" x14ac:dyDescent="0.25">
      <c r="A7" t="s">
        <v>22</v>
      </c>
      <c r="B7" s="6">
        <v>3.25</v>
      </c>
      <c r="C7" t="s">
        <v>21</v>
      </c>
      <c r="D7" s="7">
        <v>0</v>
      </c>
      <c r="E7" s="8">
        <f>ROUND(B7*D7,2)</f>
        <v>0</v>
      </c>
    </row>
    <row r="8" spans="1:5" x14ac:dyDescent="0.25">
      <c r="A8" t="s">
        <v>23</v>
      </c>
      <c r="B8" s="6">
        <v>0.15</v>
      </c>
      <c r="C8" t="s">
        <v>21</v>
      </c>
      <c r="D8" s="7">
        <v>1.2</v>
      </c>
      <c r="E8" s="8">
        <f>ROUND(B8*D8,2)</f>
        <v>0.18</v>
      </c>
    </row>
    <row r="9" spans="1:5" x14ac:dyDescent="0.25">
      <c r="A9" t="s">
        <v>24</v>
      </c>
      <c r="B9" s="6">
        <v>0.01</v>
      </c>
      <c r="C9" t="s">
        <v>21</v>
      </c>
      <c r="D9" s="7">
        <v>8</v>
      </c>
      <c r="E9" s="8">
        <f>ROUND(B9*D9,2)</f>
        <v>0.08</v>
      </c>
    </row>
    <row r="10" spans="1:5" x14ac:dyDescent="0.25">
      <c r="A10" s="4" t="s">
        <v>25</v>
      </c>
      <c r="B10" s="9">
        <f>SUM(B6:B9)</f>
        <v>8.41</v>
      </c>
      <c r="C10" t="s">
        <v>21</v>
      </c>
      <c r="E10" s="10">
        <f>ROUND(SUM(E6:E9),2)</f>
        <v>7.26</v>
      </c>
    </row>
    <row r="11" spans="1:3" x14ac:dyDescent="0.25">
      <c r="A11" t="s">
        <v>26</v>
      </c>
      <c r="B11" s="11">
        <v>250</v>
      </c>
      <c r="C11" t="s">
        <v>27</v>
      </c>
    </row>
    <row r="12" spans="1:2" x14ac:dyDescent="0.25">
      <c r="A12" t="s">
        <v>28</v>
      </c>
      <c r="B12" s="12">
        <f>B10*1000/B11</f>
        <v>33.64</v>
      </c>
    </row>
    <row r="13" spans="1:2" x14ac:dyDescent="0.25">
      <c r="A13" t="s">
        <v>29</v>
      </c>
      <c r="B13" s="13">
        <v>33</v>
      </c>
    </row>
    <row r="14" spans="1:5" x14ac:dyDescent="0.25">
      <c r="A14" s="4" t="s">
        <v>30</v>
      </c>
      <c r="E14" s="10">
        <f>ROUND(E10/B13,2)</f>
        <v>0.22</v>
      </c>
    </row>
    <row r="16" spans="1:1" x14ac:dyDescent="0.25">
      <c r="A16" s="4" t="s">
        <v>31</v>
      </c>
    </row>
    <row r="17" spans="1:5" x14ac:dyDescent="0.25">
      <c r="A17" s="5" t="s">
        <v>15</v>
      </c>
      <c r="B17" s="5" t="s">
        <v>16</v>
      </c>
      <c r="C17" s="5" t="s">
        <v>17</v>
      </c>
      <c r="D17" s="5" t="s">
        <v>18</v>
      </c>
      <c r="E17" s="5" t="s">
        <v>19</v>
      </c>
    </row>
    <row r="18" spans="1:5" x14ac:dyDescent="0.25">
      <c r="A18" t="s">
        <v>32</v>
      </c>
      <c r="B18" s="13">
        <v>2</v>
      </c>
      <c r="C18" t="s">
        <v>33</v>
      </c>
      <c r="D18" s="7">
        <v>5.1</v>
      </c>
      <c r="E18" s="8">
        <f>ROUND(B18*D18,2)</f>
        <v>10.2</v>
      </c>
    </row>
    <row r="19" spans="1:3" x14ac:dyDescent="0.25">
      <c r="A19" t="s">
        <v>34</v>
      </c>
      <c r="B19" s="6">
        <v>2.55</v>
      </c>
      <c r="C19" t="s">
        <v>21</v>
      </c>
    </row>
    <row r="20" spans="1:5" x14ac:dyDescent="0.25">
      <c r="A20" t="s">
        <v>23</v>
      </c>
      <c r="B20" s="6">
        <v>0.04</v>
      </c>
      <c r="C20" t="s">
        <v>21</v>
      </c>
      <c r="D20" s="7">
        <v>1.2</v>
      </c>
      <c r="E20" s="8">
        <f>ROUND(B20*D20,2)</f>
        <v>0.05</v>
      </c>
    </row>
    <row r="21" spans="1:5" x14ac:dyDescent="0.25">
      <c r="A21" s="4" t="s">
        <v>25</v>
      </c>
      <c r="B21" s="9">
        <f>B18*B19+B20</f>
        <v>5.14</v>
      </c>
      <c r="C21" t="s">
        <v>21</v>
      </c>
      <c r="E21" s="10">
        <f>ROUND(E18+E20,2)</f>
        <v>10.25</v>
      </c>
    </row>
    <row r="22" spans="1:5" x14ac:dyDescent="0.25">
      <c r="A22" t="s">
        <v>35</v>
      </c>
      <c r="E22" s="14">
        <f>E21/B21</f>
        <v>1.9941634241</v>
      </c>
    </row>
    <row r="23" spans="1:1" x14ac:dyDescent="0.25">
      <c r="A23" s="2" t="s">
        <v>36</v>
      </c>
    </row>
    <row r="25" spans="1:1" x14ac:dyDescent="0.25">
      <c r="A25" s="4" t="s">
        <v>37</v>
      </c>
    </row>
    <row r="26" spans="1:5" x14ac:dyDescent="0.25">
      <c r="A26" s="5" t="s">
        <v>15</v>
      </c>
      <c r="B26" s="5" t="s">
        <v>16</v>
      </c>
      <c r="C26" s="5" t="s">
        <v>17</v>
      </c>
      <c r="D26" s="5" t="s">
        <v>18</v>
      </c>
      <c r="E26" s="5" t="s">
        <v>38</v>
      </c>
    </row>
    <row r="27" spans="1:4" x14ac:dyDescent="0.25">
      <c r="A27" t="s">
        <v>39</v>
      </c>
      <c r="D27" s="7">
        <v>9</v>
      </c>
    </row>
    <row r="28" spans="1:5" x14ac:dyDescent="0.25">
      <c r="A28" t="s">
        <v>40</v>
      </c>
      <c r="B28" s="11">
        <v>1000</v>
      </c>
      <c r="C28" t="s">
        <v>27</v>
      </c>
      <c r="E28" s="8">
        <f>IF(B28="","",ROUND(D27/(B28/1000),2))</f>
        <v>9</v>
      </c>
    </row>
    <row r="29" spans="1:5" x14ac:dyDescent="0.25">
      <c r="A29" t="s">
        <v>41</v>
      </c>
      <c r="B29" s="11">
        <v>750</v>
      </c>
      <c r="C29" t="s">
        <v>27</v>
      </c>
      <c r="E29" s="8">
        <f>IF(B29="","",ROUND(D27/(B29/1000),2))</f>
        <v>12</v>
      </c>
    </row>
    <row r="30" spans="1:5" x14ac:dyDescent="0.25">
      <c r="A30" t="s">
        <v>42</v>
      </c>
      <c r="B30" s="11">
        <v>700</v>
      </c>
      <c r="C30" t="s">
        <v>27</v>
      </c>
      <c r="E30" s="8">
        <f>IF(B30="","",D27/(B30/1000))</f>
        <v>12.857142857</v>
      </c>
    </row>
    <row r="31" spans="1:5" x14ac:dyDescent="0.25">
      <c r="A31" s="4" t="s">
        <v>43</v>
      </c>
      <c r="E31" s="10">
        <f>IF(B30&lt;&gt;"",E30,IF(B29&lt;&gt;"",E29,""))</f>
        <v>12.857142857</v>
      </c>
    </row>
    <row r="32" spans="1:1" x14ac:dyDescent="0.25">
      <c r="A32" s="15" t="str">
        <f>IF(AND(B30="",B29=""),"No weight entered: weigh one bag once, the way it goes on the pizza, and enter the weight.","")</f>
        <v/>
      </c>
    </row>
    <row r="33" spans="1:1" x14ac:dyDescent="0.25">
      <c r="A33" s="2" t="s">
        <v>44</v>
      </c>
    </row>
    <row r="34" spans="1:1" x14ac:dyDescent="0.25">
      <c r="A34" s="2" t="s">
        <v>45</v>
      </c>
    </row>
    <row r="38" spans="1:1" x14ac:dyDescent="0.25">
      <c r="A38" s="4" t="s">
        <v>46</v>
      </c>
    </row>
    <row r="39" spans="1:5" x14ac:dyDescent="0.25">
      <c r="A39" s="5" t="s">
        <v>15</v>
      </c>
      <c r="B39" s="5" t="s">
        <v>47</v>
      </c>
      <c r="C39" s="5" t="s">
        <v>17</v>
      </c>
      <c r="D39" s="5" t="s">
        <v>18</v>
      </c>
      <c r="E39" s="5" t="s">
        <v>47</v>
      </c>
    </row>
    <row r="40" spans="1:4" x14ac:dyDescent="0.25">
      <c r="A40" t="s">
        <v>48</v>
      </c>
      <c r="C40" t="s">
        <v>49</v>
      </c>
      <c r="D40" s="7">
        <v>12</v>
      </c>
    </row>
    <row r="41" spans="1:4" x14ac:dyDescent="0.25">
      <c r="A41" t="s">
        <v>50</v>
      </c>
      <c r="C41" t="s">
        <v>51</v>
      </c>
      <c r="D41" s="7">
        <v>30</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heetViews>
  <sheetFormatPr defaultRowHeight="15" outlineLevelRow="0" outlineLevelCol="0" x14ac:dyDescent="55"/>
  <cols>
    <col min="1" max="1" width="22" customWidth="1"/>
    <col min="2" max="3" width="11" customWidth="1"/>
    <col min="4" max="4" width="13" customWidth="1"/>
    <col min="5" max="5" width="11" customWidth="1"/>
    <col min="6" max="8" width="13" customWidth="1"/>
    <col min="9" max="9" width="16" customWidth="1"/>
  </cols>
  <sheetData>
    <row r="1" spans="1:1" x14ac:dyDescent="0.25">
      <c r="A1" s="1" t="s">
        <v>52</v>
      </c>
    </row>
    <row r="2" spans="1:1" x14ac:dyDescent="0.25">
      <c r="A2" s="2" t="s">
        <v>13</v>
      </c>
    </row>
    <row r="4" spans="1:9" x14ac:dyDescent="0.25">
      <c r="A4" s="5" t="s">
        <v>53</v>
      </c>
      <c r="B4" s="5" t="s">
        <v>54</v>
      </c>
      <c r="C4" s="5" t="s">
        <v>55</v>
      </c>
      <c r="D4" s="5" t="s">
        <v>56</v>
      </c>
      <c r="E4" s="5" t="s">
        <v>57</v>
      </c>
      <c r="F4" s="5" t="s">
        <v>58</v>
      </c>
      <c r="G4" s="5" t="s">
        <v>59</v>
      </c>
      <c r="H4" s="5" t="s">
        <v>60</v>
      </c>
      <c r="I4" s="5" t="s">
        <v>61</v>
      </c>
    </row>
    <row r="5" spans="1:9" x14ac:dyDescent="0.25">
      <c r="A5" t="s">
        <v>62</v>
      </c>
      <c r="B5" s="13">
        <v>1</v>
      </c>
      <c r="C5" s="13">
        <v>80</v>
      </c>
      <c r="D5" s="13">
        <v>100</v>
      </c>
      <c r="E5" s="13">
        <v>5</v>
      </c>
      <c r="F5" s="13">
        <v>2</v>
      </c>
      <c r="G5" s="7">
        <v>0</v>
      </c>
      <c r="H5" s="7">
        <v>0.4</v>
      </c>
      <c r="I5" s="10">
        <f>IF(OR(A5="",'Base recipes'!$E$31=""),"",ROUND(B5*'Base recipes'!$E$14,2)+ROUND(C5/1000*'Base recipes'!$E$22,2)+ROUND(D5/1000*'Base recipes'!$E$31,2)+ROUND(E5/1000*'Base recipes'!$D$40,2)+ROUND(F5/1000*'Base recipes'!$D$41,2)+G5)</f>
        <v>1.79</v>
      </c>
    </row>
    <row r="6" spans="1:9" x14ac:dyDescent="0.25">
      <c r="A6" t="s">
        <v>47</v>
      </c>
      <c r="B6" s="13"/>
      <c r="C6" s="13"/>
      <c r="D6" s="13"/>
      <c r="E6" s="13"/>
      <c r="F6" s="13"/>
      <c r="G6" s="7"/>
      <c r="H6" s="7"/>
      <c r="I6" s="10" t="str">
        <f>IF(OR(A6="",'Base recipes'!$E$31=""),"",ROUND(B6*'Base recipes'!$E$14,2)+ROUND(C6/1000*'Base recipes'!$E$22,2)+ROUND(D6/1000*'Base recipes'!$E$31,2)+ROUND(E6/1000*'Base recipes'!$D$40,2)+ROUND(F6/1000*'Base recipes'!$D$41,2)+G6)</f>
        <v/>
      </c>
    </row>
    <row r="7" spans="1:9" x14ac:dyDescent="0.25">
      <c r="A7" t="s">
        <v>47</v>
      </c>
      <c r="B7" s="13"/>
      <c r="C7" s="13"/>
      <c r="D7" s="13"/>
      <c r="E7" s="13"/>
      <c r="F7" s="13"/>
      <c r="G7" s="7"/>
      <c r="H7" s="7"/>
      <c r="I7" s="10" t="str">
        <f>IF(OR(A7="",'Base recipes'!$E$31=""),"",ROUND(B7*'Base recipes'!$E$14,2)+ROUND(C7/1000*'Base recipes'!$E$22,2)+ROUND(D7/1000*'Base recipes'!$E$31,2)+ROUND(E7/1000*'Base recipes'!$D$40,2)+ROUND(F7/1000*'Base recipes'!$D$41,2)+G7)</f>
        <v/>
      </c>
    </row>
    <row r="8" spans="1:9" x14ac:dyDescent="0.25">
      <c r="A8" t="s">
        <v>47</v>
      </c>
      <c r="B8" s="13"/>
      <c r="C8" s="13"/>
      <c r="D8" s="13"/>
      <c r="E8" s="13"/>
      <c r="F8" s="13"/>
      <c r="G8" s="7"/>
      <c r="H8" s="7"/>
      <c r="I8" s="10" t="str">
        <f>IF(OR(A8="",'Base recipes'!$E$31=""),"",ROUND(B8*'Base recipes'!$E$14,2)+ROUND(C8/1000*'Base recipes'!$E$22,2)+ROUND(D8/1000*'Base recipes'!$E$31,2)+ROUND(E8/1000*'Base recipes'!$D$40,2)+ROUND(F8/1000*'Base recipes'!$D$41,2)+G8)</f>
        <v/>
      </c>
    </row>
    <row r="9" spans="1:9" x14ac:dyDescent="0.25">
      <c r="A9" t="s">
        <v>47</v>
      </c>
      <c r="B9" s="13"/>
      <c r="C9" s="13"/>
      <c r="D9" s="13"/>
      <c r="E9" s="13"/>
      <c r="F9" s="13"/>
      <c r="G9" s="7"/>
      <c r="H9" s="7"/>
      <c r="I9" s="10" t="str">
        <f>IF(OR(A9="",'Base recipes'!$E$31=""),"",ROUND(B9*'Base recipes'!$E$14,2)+ROUND(C9/1000*'Base recipes'!$E$22,2)+ROUND(D9/1000*'Base recipes'!$E$31,2)+ROUND(E9/1000*'Base recipes'!$D$40,2)+ROUND(F9/1000*'Base recipes'!$D$41,2)+G9)</f>
        <v/>
      </c>
    </row>
    <row r="11" spans="1:1" x14ac:dyDescent="0.25">
      <c r="A11" s="2" t="s">
        <v>63</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heetViews>
  <sheetFormatPr defaultRowHeight="15" outlineLevelRow="0" outlineLevelCol="0" x14ac:dyDescent="55"/>
  <cols>
    <col min="1" max="1" width="22" customWidth="1"/>
    <col min="2" max="11" width="14" customWidth="1"/>
  </cols>
  <sheetData>
    <row r="1" spans="1:1" x14ac:dyDescent="0.25">
      <c r="A1" s="1" t="s">
        <v>64</v>
      </c>
    </row>
    <row r="2" spans="1:1" x14ac:dyDescent="0.25">
      <c r="A2" s="2" t="s">
        <v>13</v>
      </c>
    </row>
    <row r="4" spans="1:3" x14ac:dyDescent="0.25">
      <c r="A4" t="s">
        <v>65</v>
      </c>
      <c r="B4" s="16">
        <v>0.081</v>
      </c>
      <c r="C4" s="2" t="s">
        <v>66</v>
      </c>
    </row>
    <row r="5" spans="1:2" x14ac:dyDescent="0.25">
      <c r="A5" t="s">
        <v>67</v>
      </c>
      <c r="B5" s="16">
        <v>0.026</v>
      </c>
    </row>
    <row r="7" spans="1:11" x14ac:dyDescent="0.25">
      <c r="A7" s="5" t="s">
        <v>53</v>
      </c>
      <c r="B7" s="5" t="s">
        <v>68</v>
      </c>
      <c r="C7" s="5" t="s">
        <v>69</v>
      </c>
      <c r="D7" s="5" t="s">
        <v>70</v>
      </c>
      <c r="E7" s="5" t="s">
        <v>71</v>
      </c>
      <c r="F7" s="5" t="s">
        <v>72</v>
      </c>
      <c r="G7" s="5" t="s">
        <v>73</v>
      </c>
      <c r="H7" s="5" t="s">
        <v>74</v>
      </c>
      <c r="I7" s="5" t="s">
        <v>75</v>
      </c>
      <c r="J7" s="5" t="s">
        <v>76</v>
      </c>
      <c r="K7" s="5" t="s">
        <v>77</v>
      </c>
    </row>
    <row r="8" spans="1:11" x14ac:dyDescent="0.25">
      <c r="A8" t="str">
        <f>IF('Pizzas'!A5="","",'Pizzas'!A5)</f>
        <v>Margherita</v>
      </c>
      <c r="B8" s="7">
        <v>18.5</v>
      </c>
      <c r="C8" s="7">
        <f>IF(B8="","",B8)</f>
        <v>18.5</v>
      </c>
      <c r="D8" s="8">
        <f>IF(B8="","",ROUND(B8/(1+$B$4),2))</f>
        <v>17.11</v>
      </c>
      <c r="E8" s="8">
        <f>IF(C8="","",ROUND(C8/(1+$B$5),2))</f>
        <v>18.03</v>
      </c>
      <c r="F8" s="17">
        <f>IF(OR(D8="",'Pizzas'!I5=""),"",'Pizzas'!I5/D8)</f>
        <v>0.10461718293</v>
      </c>
      <c r="G8" s="17">
        <f>IF(OR(E8="",'Pizzas'!I5=""),"",'Pizzas'!I5/E8)</f>
        <v>0.099278979479</v>
      </c>
      <c r="H8" s="8">
        <f>IF(OR(D8="",'Pizzas'!I5=""),"",ROUND(D8-'Pizzas'!I5,2))</f>
        <v>15.32</v>
      </c>
      <c r="I8" s="8">
        <f>IF(OR(E8="",'Pizzas'!I5=""),"",ROUND(E8-'Pizzas'!I5,2))</f>
        <v>16.24</v>
      </c>
      <c r="J8" s="8">
        <f>IF(I8="","",ROUND(I8-IF('Pizzas'!H5="",0,'Pizzas'!H5),2))</f>
        <v>15.84</v>
      </c>
      <c r="K8" s="8">
        <f>IF(OR(H8="",J8=""),"",ROUND(J8-H8,2))</f>
        <v>0.52</v>
      </c>
    </row>
    <row r="9" spans="1:11" x14ac:dyDescent="0.25">
      <c r="A9" t="str">
        <f>IF('Pizzas'!A6="","",'Pizzas'!A6)</f>
        <v/>
      </c>
      <c r="B9" s="7"/>
      <c r="C9" s="7" t="str">
        <f>IF(B9="","",B9)</f>
        <v/>
      </c>
      <c r="D9" s="8" t="str">
        <f>IF(B9="","",ROUND(B9/(1+$B$4),2))</f>
        <v/>
      </c>
      <c r="E9" s="8" t="str">
        <f>IF(C9="","",ROUND(C9/(1+$B$5),2))</f>
        <v/>
      </c>
      <c r="F9" s="17" t="str">
        <f>IF(OR(D9="",'Pizzas'!I6=""),"",'Pizzas'!I6/D9)</f>
        <v/>
      </c>
      <c r="G9" s="17" t="str">
        <f>IF(OR(E9="",'Pizzas'!I6=""),"",'Pizzas'!I6/E9)</f>
        <v/>
      </c>
      <c r="H9" s="8" t="str">
        <f>IF(OR(D9="",'Pizzas'!I6=""),"",ROUND(D9-'Pizzas'!I6,2))</f>
        <v/>
      </c>
      <c r="I9" s="8" t="str">
        <f>IF(OR(E9="",'Pizzas'!I6=""),"",ROUND(E9-'Pizzas'!I6,2))</f>
        <v/>
      </c>
      <c r="J9" s="8" t="str">
        <f>IF(I9="","",ROUND(I9-IF('Pizzas'!H6="",0,'Pizzas'!H6),2))</f>
        <v/>
      </c>
      <c r="K9" s="8" t="str">
        <f>IF(OR(H9="",J9=""),"",ROUND(J9-H9,2))</f>
        <v/>
      </c>
    </row>
    <row r="10" spans="1:11" x14ac:dyDescent="0.25">
      <c r="A10" t="str">
        <f>IF('Pizzas'!A7="","",'Pizzas'!A7)</f>
        <v/>
      </c>
      <c r="B10" s="7"/>
      <c r="C10" s="7" t="str">
        <f>IF(B10="","",B10)</f>
        <v/>
      </c>
      <c r="D10" s="8" t="str">
        <f>IF(B10="","",ROUND(B10/(1+$B$4),2))</f>
        <v/>
      </c>
      <c r="E10" s="8" t="str">
        <f>IF(C10="","",ROUND(C10/(1+$B$5),2))</f>
        <v/>
      </c>
      <c r="F10" s="17" t="str">
        <f>IF(OR(D10="",'Pizzas'!I7=""),"",'Pizzas'!I7/D10)</f>
        <v/>
      </c>
      <c r="G10" s="17" t="str">
        <f>IF(OR(E10="",'Pizzas'!I7=""),"",'Pizzas'!I7/E10)</f>
        <v/>
      </c>
      <c r="H10" s="8" t="str">
        <f>IF(OR(D10="",'Pizzas'!I7=""),"",ROUND(D10-'Pizzas'!I7,2))</f>
        <v/>
      </c>
      <c r="I10" s="8" t="str">
        <f>IF(OR(E10="",'Pizzas'!I7=""),"",ROUND(E10-'Pizzas'!I7,2))</f>
        <v/>
      </c>
      <c r="J10" s="8" t="str">
        <f>IF(I10="","",ROUND(I10-IF('Pizzas'!H7="",0,'Pizzas'!H7),2))</f>
        <v/>
      </c>
      <c r="K10" s="8" t="str">
        <f>IF(OR(H10="",J10=""),"",ROUND(J10-H10,2))</f>
        <v/>
      </c>
    </row>
    <row r="11" spans="1:11" x14ac:dyDescent="0.25">
      <c r="A11" t="str">
        <f>IF('Pizzas'!A8="","",'Pizzas'!A8)</f>
        <v/>
      </c>
      <c r="B11" s="7"/>
      <c r="C11" s="7" t="str">
        <f>IF(B11="","",B11)</f>
        <v/>
      </c>
      <c r="D11" s="8" t="str">
        <f>IF(B11="","",ROUND(B11/(1+$B$4),2))</f>
        <v/>
      </c>
      <c r="E11" s="8" t="str">
        <f>IF(C11="","",ROUND(C11/(1+$B$5),2))</f>
        <v/>
      </c>
      <c r="F11" s="17" t="str">
        <f>IF(OR(D11="",'Pizzas'!I8=""),"",'Pizzas'!I8/D11)</f>
        <v/>
      </c>
      <c r="G11" s="17" t="str">
        <f>IF(OR(E11="",'Pizzas'!I8=""),"",'Pizzas'!I8/E11)</f>
        <v/>
      </c>
      <c r="H11" s="8" t="str">
        <f>IF(OR(D11="",'Pizzas'!I8=""),"",ROUND(D11-'Pizzas'!I8,2))</f>
        <v/>
      </c>
      <c r="I11" s="8" t="str">
        <f>IF(OR(E11="",'Pizzas'!I8=""),"",ROUND(E11-'Pizzas'!I8,2))</f>
        <v/>
      </c>
      <c r="J11" s="8" t="str">
        <f>IF(I11="","",ROUND(I11-IF('Pizzas'!H8="",0,'Pizzas'!H8),2))</f>
        <v/>
      </c>
      <c r="K11" s="8" t="str">
        <f>IF(OR(H11="",J11=""),"",ROUND(J11-H11,2))</f>
        <v/>
      </c>
    </row>
    <row r="12" spans="1:11" x14ac:dyDescent="0.25">
      <c r="A12" t="str">
        <f>IF('Pizzas'!A9="","",'Pizzas'!A9)</f>
        <v/>
      </c>
      <c r="B12" s="7"/>
      <c r="C12" s="7" t="str">
        <f>IF(B12="","",B12)</f>
        <v/>
      </c>
      <c r="D12" s="8" t="str">
        <f>IF(B12="","",ROUND(B12/(1+$B$4),2))</f>
        <v/>
      </c>
      <c r="E12" s="8" t="str">
        <f>IF(C12="","",ROUND(C12/(1+$B$5),2))</f>
        <v/>
      </c>
      <c r="F12" s="17" t="str">
        <f>IF(OR(D12="",'Pizzas'!I9=""),"",'Pizzas'!I9/D12)</f>
        <v/>
      </c>
      <c r="G12" s="17" t="str">
        <f>IF(OR(E12="",'Pizzas'!I9=""),"",'Pizzas'!I9/E12)</f>
        <v/>
      </c>
      <c r="H12" s="8" t="str">
        <f>IF(OR(D12="",'Pizzas'!I9=""),"",ROUND(D12-'Pizzas'!I9,2))</f>
        <v/>
      </c>
      <c r="I12" s="8" t="str">
        <f>IF(OR(E12="",'Pizzas'!I9=""),"",ROUND(E12-'Pizzas'!I9,2))</f>
        <v/>
      </c>
      <c r="J12" s="8" t="str">
        <f>IF(I12="","",ROUND(I12-IF('Pizzas'!H9="",0,'Pizzas'!H9),2))</f>
        <v/>
      </c>
      <c r="K12" s="8" t="str">
        <f>IF(OR(H12="",J12=""),"",ROUND(J12-H12,2))</f>
        <v/>
      </c>
    </row>
    <row r="14" spans="1:2" x14ac:dyDescent="0.25">
      <c r="A14" s="4" t="s">
        <v>78</v>
      </c>
      <c r="B14" s="8">
        <f>IF(OR(D8="",E8=""),"",ROUND(E8-D8,2))</f>
        <v>0.92</v>
      </c>
    </row>
    <row r="15" spans="1:3" x14ac:dyDescent="0.25">
      <c r="A15" s="4" t="s">
        <v>79</v>
      </c>
      <c r="B15" s="18">
        <f>1/(1+$B$5)-1/(1+$B$4)</f>
        <v>0.049589489192</v>
      </c>
      <c r="C15" s="2" t="s">
        <v>80</v>
      </c>
    </row>
    <row r="16" spans="1:1" x14ac:dyDescent="0.25">
      <c r="A16" s="2" t="s">
        <v>81</v>
      </c>
    </row>
    <row r="17" spans="1:1" x14ac:dyDescent="0.25">
      <c r="A17" s="2" t="s">
        <v>82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Base recipes</vt:lpstr>
      <vt:lpstr>Pizzas</vt:lpstr>
      <vt:lpstr>Channels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Trolevo</dc:creator>
  <dc:title/>
  <dc:subject/>
  <dc:description/>
  <cp:keywords/>
  <cp:category/>
  <cp:lastModifiedBy>Unknown</cp:lastModifiedBy>
  <dcterms:created xsi:type="dcterms:W3CDTF">2026-10-08T00:00:00Z</dcterms:created>
  <dcterms:modified xsi:type="dcterms:W3CDTF">2026-10-12T05:29:57Z</dcterms:modified>
</cp:coreProperties>
</file>